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  <sheet name="груден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<sst xmlns="http://schemas.openxmlformats.org/spreadsheetml/2006/main" count="1529" uniqueCount="244">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</sst>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1363650.08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5" zoomScaleNormal="75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242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239</v>
      </c>
      <c r="O3" s="346" t="s">
        <v>241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236</v>
      </c>
      <c r="F4" s="329" t="s">
        <v>33</v>
      </c>
      <c r="G4" s="320" t="s">
        <v>237</v>
      </c>
      <c r="H4" s="331" t="s">
        <v>238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243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240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842922.74</v>
      </c>
      <c r="G8" s="151">
        <f>F8-E8</f>
        <v>-103708.85999999999</v>
      </c>
      <c r="H8" s="152">
        <f>F8/E8*100</f>
        <v>89.04443291350088</v>
      </c>
      <c r="I8" s="153">
        <f aca="true" t="shared" si="0" ref="I8:I15">F8-D8</f>
        <v>-455528.3600000001</v>
      </c>
      <c r="J8" s="153">
        <f aca="true" t="shared" si="1" ref="J8:J15">F8/D8*100</f>
        <v>64.91755754221317</v>
      </c>
      <c r="K8" s="151">
        <v>708038.65</v>
      </c>
      <c r="L8" s="151">
        <f aca="true" t="shared" si="2" ref="L8:L25">F8-K8</f>
        <v>134884.08999999997</v>
      </c>
      <c r="M8" s="205">
        <f aca="true" t="shared" si="3" ref="M8:M20">F8/K8</f>
        <v>1.1905038517318227</v>
      </c>
      <c r="N8" s="151">
        <f>N9+N15+N18+N19+N23+N17</f>
        <v>100820.39999999997</v>
      </c>
      <c r="O8" s="151">
        <f>O9+O15+O18+O19+O23+O17</f>
        <v>4849.259999999937</v>
      </c>
      <c r="P8" s="151">
        <f>O8-N8</f>
        <v>-95971.14000000003</v>
      </c>
      <c r="Q8" s="151">
        <f aca="true" t="shared" si="4" ref="Q8:Q16">O8/N8*100</f>
        <v>4.809800397538532</v>
      </c>
      <c r="R8" s="15">
        <f>R9+R15+R18+R19+R23</f>
        <v>102514</v>
      </c>
      <c r="S8" s="15">
        <f>O8-R8</f>
        <v>-97664.74000000006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488551.91</v>
      </c>
      <c r="G9" s="150">
        <f>F9-E9</f>
        <v>-58588.090000000026</v>
      </c>
      <c r="H9" s="157">
        <f>F9/E9*100</f>
        <v>89.29193807800563</v>
      </c>
      <c r="I9" s="158">
        <f t="shared" si="0"/>
        <v>-278093.09</v>
      </c>
      <c r="J9" s="158">
        <f t="shared" si="1"/>
        <v>63.725963125044835</v>
      </c>
      <c r="K9" s="227">
        <v>385326.41</v>
      </c>
      <c r="L9" s="159">
        <f t="shared" si="2"/>
        <v>103225.5</v>
      </c>
      <c r="M9" s="206">
        <f t="shared" si="3"/>
        <v>1.2678910589076933</v>
      </c>
      <c r="N9" s="157">
        <f>E9-серпень!E9</f>
        <v>65900</v>
      </c>
      <c r="O9" s="160">
        <f>F9-серпень!F9</f>
        <v>3771.6299999999464</v>
      </c>
      <c r="P9" s="161">
        <f>O9-N9</f>
        <v>-62128.37000000005</v>
      </c>
      <c r="Q9" s="158">
        <f t="shared" si="4"/>
        <v>5.723262518968053</v>
      </c>
      <c r="R9" s="100">
        <v>71000</v>
      </c>
      <c r="S9" s="100">
        <f>O9-R9</f>
        <v>-67228.37000000005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447420.3</v>
      </c>
      <c r="G10" s="103">
        <f aca="true" t="shared" si="5" ref="G10:G35">F10-E10</f>
        <v>-50885.70000000001</v>
      </c>
      <c r="H10" s="105">
        <f aca="true" t="shared" si="6" ref="H10:H15">F10/E10*100</f>
        <v>89.78826263380333</v>
      </c>
      <c r="I10" s="104">
        <f t="shared" si="0"/>
        <v>-253896.7</v>
      </c>
      <c r="J10" s="104">
        <f t="shared" si="1"/>
        <v>63.797155922357504</v>
      </c>
      <c r="K10" s="106">
        <v>339269.05</v>
      </c>
      <c r="L10" s="106">
        <f t="shared" si="2"/>
        <v>108151.25</v>
      </c>
      <c r="M10" s="207">
        <f t="shared" si="3"/>
        <v>1.318777235942978</v>
      </c>
      <c r="N10" s="105">
        <f>E10-серпень!E10</f>
        <v>60404</v>
      </c>
      <c r="O10" s="144">
        <f>F10-серпень!F10</f>
        <v>3642.7699999999604</v>
      </c>
      <c r="P10" s="106">
        <f aca="true" t="shared" si="7" ref="P10:P40">O10-N10</f>
        <v>-56761.23000000004</v>
      </c>
      <c r="Q10" s="104">
        <f t="shared" si="4"/>
        <v>6.03067677637236</v>
      </c>
      <c r="R10" s="37"/>
      <c r="S10" s="100" t="e">
        <f>#N/A</f>
        <v>#N/A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26169.54</v>
      </c>
      <c r="G11" s="103">
        <f t="shared" si="5"/>
        <v>-8030.459999999999</v>
      </c>
      <c r="H11" s="105">
        <f t="shared" si="6"/>
        <v>76.51912280701755</v>
      </c>
      <c r="I11" s="104">
        <f t="shared" si="0"/>
        <v>-20336.46</v>
      </c>
      <c r="J11" s="104">
        <f t="shared" si="1"/>
        <v>56.271319829699394</v>
      </c>
      <c r="K11" s="106">
        <v>28497.47</v>
      </c>
      <c r="L11" s="106">
        <f t="shared" si="2"/>
        <v>-2327.9300000000003</v>
      </c>
      <c r="M11" s="207">
        <f t="shared" si="3"/>
        <v>0.9183109939233202</v>
      </c>
      <c r="N11" s="105">
        <f>E11-серпень!E11</f>
        <v>4020</v>
      </c>
      <c r="O11" s="144">
        <f>F11-серпень!F11</f>
        <v>0</v>
      </c>
      <c r="P11" s="106">
        <f t="shared" si="7"/>
        <v>-4020</v>
      </c>
      <c r="Q11" s="104">
        <f t="shared" si="4"/>
        <v>0</v>
      </c>
      <c r="R11" s="37"/>
      <c r="S11" s="100" t="e">
        <f>#N/A</f>
        <v>#N/A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6712.86</v>
      </c>
      <c r="G12" s="103">
        <f t="shared" si="5"/>
        <v>532.8599999999997</v>
      </c>
      <c r="H12" s="105">
        <f t="shared" si="6"/>
        <v>108.62233009708737</v>
      </c>
      <c r="I12" s="104">
        <f t="shared" si="0"/>
        <v>-1567.1400000000003</v>
      </c>
      <c r="J12" s="104">
        <f t="shared" si="1"/>
        <v>81.0731884057971</v>
      </c>
      <c r="K12" s="106">
        <v>7409.72</v>
      </c>
      <c r="L12" s="106">
        <f t="shared" si="2"/>
        <v>-696.8600000000006</v>
      </c>
      <c r="M12" s="207">
        <f t="shared" si="3"/>
        <v>0.9059532613917934</v>
      </c>
      <c r="N12" s="105">
        <f>E12-серпень!E12</f>
        <v>900</v>
      </c>
      <c r="O12" s="144">
        <f>F12-серпень!F12</f>
        <v>84.57999999999993</v>
      </c>
      <c r="P12" s="106">
        <f t="shared" si="7"/>
        <v>-815.4200000000001</v>
      </c>
      <c r="Q12" s="104">
        <f t="shared" si="4"/>
        <v>9.39777777777777</v>
      </c>
      <c r="R12" s="37"/>
      <c r="S12" s="100" t="e">
        <f>#N/A</f>
        <v>#N/A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7294.45</v>
      </c>
      <c r="G13" s="103">
        <f t="shared" si="5"/>
        <v>-295.5500000000002</v>
      </c>
      <c r="H13" s="105">
        <f t="shared" si="6"/>
        <v>96.10606060606061</v>
      </c>
      <c r="I13" s="104">
        <f t="shared" si="0"/>
        <v>-2095.55</v>
      </c>
      <c r="J13" s="104">
        <f t="shared" si="1"/>
        <v>77.68317358892438</v>
      </c>
      <c r="K13" s="106">
        <v>7511.25</v>
      </c>
      <c r="L13" s="106">
        <f t="shared" si="2"/>
        <v>-216.80000000000018</v>
      </c>
      <c r="M13" s="207">
        <f t="shared" si="3"/>
        <v>0.9711366283907472</v>
      </c>
      <c r="N13" s="105">
        <f>E13-серпень!E13</f>
        <v>480</v>
      </c>
      <c r="O13" s="144">
        <f>F13-серпень!F13</f>
        <v>18.98999999999978</v>
      </c>
      <c r="P13" s="106">
        <f t="shared" si="7"/>
        <v>-461.0100000000002</v>
      </c>
      <c r="Q13" s="104">
        <f t="shared" si="4"/>
        <v>3.956249999999954</v>
      </c>
      <c r="R13" s="37"/>
      <c r="S13" s="100" t="e">
        <f>#N/A</f>
        <v>#N/A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954.77</v>
      </c>
      <c r="G14" s="103">
        <f t="shared" si="5"/>
        <v>90.76999999999998</v>
      </c>
      <c r="H14" s="105">
        <f t="shared" si="6"/>
        <v>110.50578703703704</v>
      </c>
      <c r="I14" s="104">
        <f t="shared" si="0"/>
        <v>-197.23000000000002</v>
      </c>
      <c r="J14" s="104">
        <f t="shared" si="1"/>
        <v>82.87934027777779</v>
      </c>
      <c r="K14" s="106">
        <v>2638.91</v>
      </c>
      <c r="L14" s="106">
        <f t="shared" si="2"/>
        <v>-1684.1399999999999</v>
      </c>
      <c r="M14" s="207">
        <f t="shared" si="3"/>
        <v>0.36180468450989234</v>
      </c>
      <c r="N14" s="105">
        <f>E14-серпень!E14</f>
        <v>96</v>
      </c>
      <c r="O14" s="144">
        <f>F14-серпень!F14</f>
        <v>25.299999999999955</v>
      </c>
      <c r="P14" s="106">
        <f t="shared" si="7"/>
        <v>-70.70000000000005</v>
      </c>
      <c r="Q14" s="104">
        <f t="shared" si="4"/>
        <v>26.354166666666618</v>
      </c>
      <c r="R14" s="37"/>
      <c r="S14" s="100" t="e">
        <f>#N/A</f>
        <v>#N/A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386.82</v>
      </c>
      <c r="L15" s="161">
        <f t="shared" si="2"/>
        <v>-61.00999999999999</v>
      </c>
      <c r="M15" s="208">
        <f t="shared" si="3"/>
        <v>0.842278062147769</v>
      </c>
      <c r="N15" s="157">
        <f>E15-серпень!E15</f>
        <v>0</v>
      </c>
      <c r="O15" s="160">
        <f>F15-серпень!F15</f>
        <v>0</v>
      </c>
      <c r="P15" s="161">
        <f t="shared" si="7"/>
        <v>0</v>
      </c>
      <c r="Q15" s="158" t="e">
        <f t="shared" si="4"/>
        <v>#DIV/0!</v>
      </c>
      <c r="R15" s="37">
        <v>0</v>
      </c>
      <c r="S15" s="100" t="e">
        <f>#N/A</f>
        <v>#N/A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40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E16-серпень!E16</f>
        <v>0</v>
      </c>
      <c r="O16" s="160">
        <f>F16-серпень!F16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 t="e">
        <f>#N/A</f>
        <v>#N/A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E17-серпень!E17</f>
        <v>0</v>
      </c>
      <c r="O17" s="160">
        <f>F17-серпень!F17</f>
        <v>0</v>
      </c>
      <c r="P17" s="161">
        <f t="shared" si="7"/>
        <v>0</v>
      </c>
      <c r="Q17" s="158"/>
      <c r="R17" s="104"/>
      <c r="S17" s="100" t="e">
        <f>#N/A</f>
        <v>#N/A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E18-серпень!E18</f>
        <v>0</v>
      </c>
      <c r="O18" s="160">
        <f>F18-серпень!F18</f>
        <v>0</v>
      </c>
      <c r="P18" s="161">
        <f t="shared" si="7"/>
        <v>0</v>
      </c>
      <c r="Q18" s="158" t="e">
        <f aca="true" t="shared" si="10" ref="Q18:Q24">O18/N18*100</f>
        <v>#DIV/0!</v>
      </c>
      <c r="R18" s="37">
        <v>0</v>
      </c>
      <c r="S18" s="100" t="e">
        <f>#N/A</f>
        <v>#N/A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64733.55</v>
      </c>
      <c r="G19" s="150">
        <f t="shared" si="5"/>
        <v>-30066.449999999997</v>
      </c>
      <c r="H19" s="157">
        <f aca="true" t="shared" si="11" ref="H19:H39">F19/E19*100</f>
        <v>68.28433544303797</v>
      </c>
      <c r="I19" s="158">
        <f t="shared" si="8"/>
        <v>-65266.45</v>
      </c>
      <c r="J19" s="158">
        <f t="shared" si="9"/>
        <v>49.79503846153847</v>
      </c>
      <c r="K19" s="161">
        <v>74352.8</v>
      </c>
      <c r="L19" s="161">
        <f t="shared" si="2"/>
        <v>-9619.25</v>
      </c>
      <c r="M19" s="208">
        <f t="shared" si="3"/>
        <v>0.8706269299878417</v>
      </c>
      <c r="N19" s="157">
        <f>E19-серпень!E19</f>
        <v>11800</v>
      </c>
      <c r="O19" s="160">
        <f>F19-серпень!F19</f>
        <v>15.020000000004075</v>
      </c>
      <c r="P19" s="161">
        <f t="shared" si="7"/>
        <v>-11784.979999999996</v>
      </c>
      <c r="Q19" s="158">
        <f t="shared" si="10"/>
        <v>0.12728813559325486</v>
      </c>
      <c r="R19" s="294">
        <v>8800</v>
      </c>
      <c r="S19" s="100" t="e">
        <f>#N/A</f>
        <v>#N/A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41681.17</v>
      </c>
      <c r="G20" s="253">
        <f t="shared" si="5"/>
        <v>-14568.830000000002</v>
      </c>
      <c r="H20" s="195">
        <f t="shared" si="11"/>
        <v>74.09985777777777</v>
      </c>
      <c r="I20" s="254">
        <f t="shared" si="8"/>
        <v>-34818.83</v>
      </c>
      <c r="J20" s="254">
        <f t="shared" si="9"/>
        <v>54.48518954248366</v>
      </c>
      <c r="K20" s="166">
        <v>74352.8</v>
      </c>
      <c r="L20" s="166">
        <f t="shared" si="2"/>
        <v>-32671.630000000005</v>
      </c>
      <c r="M20" s="256">
        <f t="shared" si="3"/>
        <v>0.5605864204172539</v>
      </c>
      <c r="N20" s="195">
        <f>E20-серпень!E20</f>
        <v>6850</v>
      </c>
      <c r="O20" s="179">
        <f>F20-серпень!F20</f>
        <v>15.019999999996799</v>
      </c>
      <c r="P20" s="166">
        <f t="shared" si="7"/>
        <v>-6834.980000000003</v>
      </c>
      <c r="Q20" s="254">
        <f t="shared" si="10"/>
        <v>0.219270072992654</v>
      </c>
      <c r="R20" s="104">
        <v>4450</v>
      </c>
      <c r="S20" s="104" t="e">
        <f>#N/A</f>
        <v>#N/A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5"/>
        <v>-2807.6800000000003</v>
      </c>
      <c r="H21" s="195">
        <f t="shared" si="11"/>
        <v>63.771870967741926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E21-серпень!E21</f>
        <v>950</v>
      </c>
      <c r="O21" s="179">
        <f>F21-серпень!F21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 t="e">
        <f>#N/A</f>
        <v>#N/A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5"/>
        <v>-12689.95</v>
      </c>
      <c r="H22" s="195">
        <f t="shared" si="11"/>
        <v>58.79886363636363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E22-серпень!E22</f>
        <v>4000</v>
      </c>
      <c r="O22" s="179">
        <f>F22-серпень!F22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 t="e">
        <f>#N/A</f>
        <v>#N/A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289163.52</v>
      </c>
      <c r="G23" s="150">
        <f t="shared" si="5"/>
        <v>-14987.079999999958</v>
      </c>
      <c r="H23" s="157">
        <f t="shared" si="11"/>
        <v>95.07248054088996</v>
      </c>
      <c r="I23" s="158">
        <f t="shared" si="8"/>
        <v>-111966.57999999996</v>
      </c>
      <c r="J23" s="158">
        <f t="shared" si="9"/>
        <v>72.08721559414266</v>
      </c>
      <c r="K23" s="158">
        <v>247866.66</v>
      </c>
      <c r="L23" s="161">
        <f t="shared" si="2"/>
        <v>41296.860000000015</v>
      </c>
      <c r="M23" s="209">
        <f aca="true" t="shared" si="12" ref="M23:M31">F23/K23</f>
        <v>1.1666091760787838</v>
      </c>
      <c r="N23" s="157">
        <f>E23-серпень!E23</f>
        <v>23120.399999999965</v>
      </c>
      <c r="O23" s="160">
        <f>F23-серпень!F23</f>
        <v>1062.609999999986</v>
      </c>
      <c r="P23" s="161">
        <f t="shared" si="7"/>
        <v>-22057.78999999998</v>
      </c>
      <c r="Q23" s="158">
        <f t="shared" si="10"/>
        <v>4.595984498538034</v>
      </c>
      <c r="R23" s="288">
        <f>R24+R33+R35</f>
        <v>22714</v>
      </c>
      <c r="S23" s="294" t="e">
        <f>#N/A</f>
        <v>#N/A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137528.61</v>
      </c>
      <c r="G24" s="150">
        <f t="shared" si="5"/>
        <v>-16630.290000000008</v>
      </c>
      <c r="H24" s="157">
        <f t="shared" si="11"/>
        <v>89.21224139508</v>
      </c>
      <c r="I24" s="158">
        <f t="shared" si="8"/>
        <v>-69092.39000000001</v>
      </c>
      <c r="J24" s="158">
        <f t="shared" si="9"/>
        <v>66.56080940465876</v>
      </c>
      <c r="K24" s="158">
        <v>135815.8</v>
      </c>
      <c r="L24" s="161">
        <f t="shared" si="2"/>
        <v>1712.8099999999977</v>
      </c>
      <c r="M24" s="209">
        <f t="shared" si="12"/>
        <v>1.0126112720316782</v>
      </c>
      <c r="N24" s="157">
        <f>E24-серпень!E24</f>
        <v>16613</v>
      </c>
      <c r="O24" s="160">
        <f>F24-серпень!F24</f>
        <v>372.94999999998254</v>
      </c>
      <c r="P24" s="161">
        <f t="shared" si="7"/>
        <v>-16240.050000000017</v>
      </c>
      <c r="Q24" s="158">
        <f t="shared" si="10"/>
        <v>2.24492867031832</v>
      </c>
      <c r="R24" s="293">
        <f>R25+R28+R29</f>
        <v>15007</v>
      </c>
      <c r="S24" s="293" t="e">
        <f>#N/A</f>
        <v>#N/A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16947.52</v>
      </c>
      <c r="G25" s="253">
        <f t="shared" si="5"/>
        <v>-311.5799999999981</v>
      </c>
      <c r="H25" s="195">
        <f t="shared" si="11"/>
        <v>98.19469149608034</v>
      </c>
      <c r="I25" s="254">
        <f t="shared" si="8"/>
        <v>-5861.48</v>
      </c>
      <c r="J25" s="254">
        <f t="shared" si="9"/>
        <v>74.30189837344908</v>
      </c>
      <c r="K25" s="304">
        <v>15758.82</v>
      </c>
      <c r="L25" s="166">
        <f t="shared" si="2"/>
        <v>1188.7000000000007</v>
      </c>
      <c r="M25" s="215">
        <f t="shared" si="12"/>
        <v>1.075430774639218</v>
      </c>
      <c r="N25" s="195">
        <f>E25-серпень!E25</f>
        <v>904.9999999999982</v>
      </c>
      <c r="O25" s="179">
        <f>F25-серпень!F25</f>
        <v>47.36999999999898</v>
      </c>
      <c r="P25" s="166">
        <f t="shared" si="7"/>
        <v>-857.6299999999992</v>
      </c>
      <c r="Q25" s="254">
        <f aca="true" t="shared" si="13" ref="Q25:Q35">O25/N25*100</f>
        <v>5.234254143646306</v>
      </c>
      <c r="R25" s="104">
        <v>800</v>
      </c>
      <c r="S25" s="104" t="e">
        <f>#N/A</f>
        <v>#N/A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848.92</v>
      </c>
      <c r="G26" s="223">
        <f t="shared" si="5"/>
        <v>-521.08</v>
      </c>
      <c r="H26" s="237">
        <f t="shared" si="11"/>
        <v>61.96496350364963</v>
      </c>
      <c r="I26" s="299">
        <f t="shared" si="8"/>
        <v>-973.38</v>
      </c>
      <c r="J26" s="299">
        <f t="shared" si="9"/>
        <v>46.58508478296658</v>
      </c>
      <c r="K26" s="200">
        <v>668.85</v>
      </c>
      <c r="L26" s="200">
        <f>K26-F26</f>
        <v>-180.06999999999994</v>
      </c>
      <c r="M26" s="228">
        <f t="shared" si="12"/>
        <v>1.2692232937130896</v>
      </c>
      <c r="N26" s="237">
        <f>E26-серпень!E26</f>
        <v>105</v>
      </c>
      <c r="O26" s="237">
        <f>F26-серпень!F26</f>
        <v>25.969999999999914</v>
      </c>
      <c r="P26" s="299">
        <f t="shared" si="7"/>
        <v>-79.03000000000009</v>
      </c>
      <c r="Q26" s="299">
        <f t="shared" si="13"/>
        <v>24.733333333333253</v>
      </c>
      <c r="R26" s="104"/>
      <c r="S26" s="104" t="e">
        <f>#N/A</f>
        <v>#N/A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16098.6</v>
      </c>
      <c r="G27" s="223">
        <f t="shared" si="5"/>
        <v>209.5</v>
      </c>
      <c r="H27" s="237">
        <f t="shared" si="11"/>
        <v>101.31851394981466</v>
      </c>
      <c r="I27" s="299">
        <f t="shared" si="8"/>
        <v>-4888.1</v>
      </c>
      <c r="J27" s="299">
        <f t="shared" si="9"/>
        <v>76.70858210199793</v>
      </c>
      <c r="K27" s="200">
        <v>15089.97</v>
      </c>
      <c r="L27" s="200">
        <f>K27-F27</f>
        <v>-1008.630000000001</v>
      </c>
      <c r="M27" s="228">
        <f t="shared" si="12"/>
        <v>1.066841087159219</v>
      </c>
      <c r="N27" s="237">
        <f>E27-серпень!E27</f>
        <v>800</v>
      </c>
      <c r="O27" s="237">
        <f>F27-серпень!F27</f>
        <v>21.390000000001237</v>
      </c>
      <c r="P27" s="299">
        <f t="shared" si="7"/>
        <v>-778.6099999999988</v>
      </c>
      <c r="Q27" s="299">
        <f t="shared" si="13"/>
        <v>2.6737500000001546</v>
      </c>
      <c r="R27" s="104"/>
      <c r="S27" s="104" t="e">
        <f>#N/A</f>
        <v>#N/A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-5.5</v>
      </c>
      <c r="G28" s="253">
        <f t="shared" si="5"/>
        <v>-472.3</v>
      </c>
      <c r="H28" s="195">
        <f t="shared" si="11"/>
        <v>-1.1782347900599828</v>
      </c>
      <c r="I28" s="254">
        <f t="shared" si="8"/>
        <v>-825.5</v>
      </c>
      <c r="J28" s="254">
        <f t="shared" si="9"/>
        <v>-0.6707317073170732</v>
      </c>
      <c r="K28" s="174">
        <v>777.34</v>
      </c>
      <c r="L28" s="174">
        <f aca="true" t="shared" si="14" ref="L28:L42">F28-K28</f>
        <v>-782.84</v>
      </c>
      <c r="M28" s="212">
        <f t="shared" si="12"/>
        <v>-0.007075411017058173</v>
      </c>
      <c r="N28" s="195">
        <f>E28-серпень!E28</f>
        <v>105</v>
      </c>
      <c r="O28" s="179">
        <f>F28-серпень!F28</f>
        <v>0</v>
      </c>
      <c r="P28" s="166">
        <f t="shared" si="7"/>
        <v>-105</v>
      </c>
      <c r="Q28" s="254">
        <f t="shared" si="13"/>
        <v>0</v>
      </c>
      <c r="R28" s="104">
        <v>-25</v>
      </c>
      <c r="S28" s="104" t="e">
        <f>#N/A</f>
        <v>#N/A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120586.59</v>
      </c>
      <c r="G29" s="150">
        <f t="shared" si="5"/>
        <v>-15846.410000000003</v>
      </c>
      <c r="H29" s="195">
        <f t="shared" si="11"/>
        <v>88.3852073911737</v>
      </c>
      <c r="I29" s="254">
        <f t="shared" si="8"/>
        <v>-62405.41</v>
      </c>
      <c r="J29" s="254">
        <f t="shared" si="9"/>
        <v>65.89719222698261</v>
      </c>
      <c r="K29" s="175">
        <v>119279.65</v>
      </c>
      <c r="L29" s="175">
        <f t="shared" si="14"/>
        <v>1306.9400000000023</v>
      </c>
      <c r="M29" s="211">
        <f t="shared" si="12"/>
        <v>1.0109569402660052</v>
      </c>
      <c r="N29" s="195">
        <f>E29-серпень!E29</f>
        <v>15603</v>
      </c>
      <c r="O29" s="179">
        <f>F29-серпень!F29</f>
        <v>325.58000000000175</v>
      </c>
      <c r="P29" s="166">
        <f t="shared" si="7"/>
        <v>-15277.419999999998</v>
      </c>
      <c r="Q29" s="254">
        <f t="shared" si="13"/>
        <v>2.086650003204523</v>
      </c>
      <c r="R29" s="104">
        <v>14232</v>
      </c>
      <c r="S29" s="104" t="e">
        <f>#N/A</f>
        <v>#N/A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40805.46</v>
      </c>
      <c r="G30" s="223">
        <f t="shared" si="5"/>
        <v>-2327.540000000001</v>
      </c>
      <c r="H30" s="237">
        <f t="shared" si="11"/>
        <v>94.60380683003733</v>
      </c>
      <c r="I30" s="299">
        <f t="shared" si="8"/>
        <v>-16727.54</v>
      </c>
      <c r="J30" s="299">
        <f t="shared" si="9"/>
        <v>70.92531242938836</v>
      </c>
      <c r="K30" s="200">
        <v>37996.12</v>
      </c>
      <c r="L30" s="200">
        <f t="shared" si="14"/>
        <v>2809.3399999999965</v>
      </c>
      <c r="M30" s="228">
        <f t="shared" si="12"/>
        <v>1.07393754941294</v>
      </c>
      <c r="N30" s="237">
        <f>E30-серпень!E30</f>
        <v>4918</v>
      </c>
      <c r="O30" s="237">
        <f>F30-серпень!F30</f>
        <v>91.69000000000233</v>
      </c>
      <c r="P30" s="299">
        <f t="shared" si="7"/>
        <v>-4826.309999999998</v>
      </c>
      <c r="Q30" s="299">
        <f t="shared" si="13"/>
        <v>1.8643757625051307</v>
      </c>
      <c r="R30" s="107"/>
      <c r="S30" s="100" t="e">
        <f>#N/A</f>
        <v>#N/A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79781.13</v>
      </c>
      <c r="G31" s="223">
        <f t="shared" si="5"/>
        <v>-13518.869999999995</v>
      </c>
      <c r="H31" s="237">
        <f t="shared" si="11"/>
        <v>85.51032154340837</v>
      </c>
      <c r="I31" s="299">
        <f t="shared" si="8"/>
        <v>-45677.869999999995</v>
      </c>
      <c r="J31" s="299">
        <f t="shared" si="9"/>
        <v>63.59139639244694</v>
      </c>
      <c r="K31" s="200">
        <v>81283.52</v>
      </c>
      <c r="L31" s="200">
        <f t="shared" si="14"/>
        <v>-1502.3899999999994</v>
      </c>
      <c r="M31" s="228">
        <f t="shared" si="12"/>
        <v>0.9815166715220994</v>
      </c>
      <c r="N31" s="237">
        <f>E31-серпень!E31</f>
        <v>10685</v>
      </c>
      <c r="O31" s="237">
        <f>F31-серпень!F31</f>
        <v>233.88999999999942</v>
      </c>
      <c r="P31" s="299">
        <f t="shared" si="7"/>
        <v>-10451.11</v>
      </c>
      <c r="Q31" s="299">
        <f t="shared" si="13"/>
        <v>2.188956481048193</v>
      </c>
      <c r="R31" s="107"/>
      <c r="S31" s="100" t="e">
        <f>#N/A</f>
        <v>#N/A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E32-серпень!E32</f>
        <v>0</v>
      </c>
      <c r="O32" s="160">
        <f>F32-серпень!F32</f>
        <v>0</v>
      </c>
      <c r="P32" s="161">
        <f t="shared" si="7"/>
        <v>0</v>
      </c>
      <c r="Q32" s="158"/>
      <c r="R32" s="293"/>
      <c r="S32" s="293" t="e">
        <f>#N/A</f>
        <v>#N/A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114.06</v>
      </c>
      <c r="G33" s="150">
        <f t="shared" si="5"/>
        <v>35.06</v>
      </c>
      <c r="H33" s="157">
        <f t="shared" si="11"/>
        <v>144.37974683544303</v>
      </c>
      <c r="I33" s="158">
        <f t="shared" si="8"/>
        <v>-0.9399999999999977</v>
      </c>
      <c r="J33" s="158">
        <f t="shared" si="9"/>
        <v>99.18260869565218</v>
      </c>
      <c r="K33" s="158">
        <v>87.95</v>
      </c>
      <c r="L33" s="158">
        <f t="shared" si="14"/>
        <v>26.11</v>
      </c>
      <c r="M33" s="210">
        <f aca="true" t="shared" si="15" ref="M33:M39">F33/K33</f>
        <v>1.296873223422399</v>
      </c>
      <c r="N33" s="157">
        <f>E33-серпень!E33</f>
        <v>7.400000000000006</v>
      </c>
      <c r="O33" s="160">
        <f>F33-серпень!F33</f>
        <v>0</v>
      </c>
      <c r="P33" s="161">
        <f t="shared" si="7"/>
        <v>-7.400000000000006</v>
      </c>
      <c r="Q33" s="158">
        <f t="shared" si="13"/>
        <v>0</v>
      </c>
      <c r="R33" s="293">
        <v>7</v>
      </c>
      <c r="S33" s="293" t="e">
        <f>#N/A</f>
        <v>#N/A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-37.63</v>
      </c>
      <c r="G34" s="150">
        <f t="shared" si="5"/>
        <v>-37.63</v>
      </c>
      <c r="H34" s="157"/>
      <c r="I34" s="158">
        <f t="shared" si="8"/>
        <v>-37.63</v>
      </c>
      <c r="J34" s="158"/>
      <c r="K34" s="158">
        <v>-160.1</v>
      </c>
      <c r="L34" s="158">
        <f t="shared" si="14"/>
        <v>122.47</v>
      </c>
      <c r="M34" s="210">
        <f t="shared" si="15"/>
        <v>0.23504059962523424</v>
      </c>
      <c r="N34" s="157">
        <f>E34-серпень!E34</f>
        <v>0</v>
      </c>
      <c r="O34" s="160">
        <f>F34-серпень!F34</f>
        <v>0.5799999999999983</v>
      </c>
      <c r="P34" s="161">
        <f t="shared" si="7"/>
        <v>0.5799999999999983</v>
      </c>
      <c r="Q34" s="158"/>
      <c r="R34" s="293"/>
      <c r="S34" s="293" t="e">
        <f>#N/A</f>
        <v>#N/A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151558.28</v>
      </c>
      <c r="G35" s="150">
        <f t="shared" si="5"/>
        <v>1645.5799999999872</v>
      </c>
      <c r="H35" s="157">
        <f t="shared" si="11"/>
        <v>101.097692190188</v>
      </c>
      <c r="I35" s="158">
        <f t="shared" si="8"/>
        <v>-42835.82000000001</v>
      </c>
      <c r="J35" s="158">
        <f t="shared" si="9"/>
        <v>77.9644443941457</v>
      </c>
      <c r="K35" s="178">
        <v>112122.86</v>
      </c>
      <c r="L35" s="178">
        <f t="shared" si="14"/>
        <v>39435.42</v>
      </c>
      <c r="M35" s="226">
        <f t="shared" si="15"/>
        <v>1.3517161442367773</v>
      </c>
      <c r="N35" s="157">
        <f>E35-серпень!E35</f>
        <v>6500</v>
      </c>
      <c r="O35" s="160">
        <f>F35-серпень!F35</f>
        <v>689.0799999999872</v>
      </c>
      <c r="P35" s="161">
        <f t="shared" si="7"/>
        <v>-5810.920000000013</v>
      </c>
      <c r="Q35" s="158">
        <f t="shared" si="13"/>
        <v>10.601230769230572</v>
      </c>
      <c r="R35" s="293">
        <v>7700</v>
      </c>
      <c r="S35" s="293" t="e">
        <f>#N/A</f>
        <v>#N/A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E36-серпень!E36</f>
        <v>0</v>
      </c>
      <c r="O36" s="144">
        <f>F36-серпень!F36</f>
        <v>0</v>
      </c>
      <c r="P36" s="106">
        <f t="shared" si="7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30227.4</v>
      </c>
      <c r="G37" s="103">
        <f>F37-E37</f>
        <v>-292.59999999999854</v>
      </c>
      <c r="H37" s="105">
        <f t="shared" si="11"/>
        <v>99.04128440366972</v>
      </c>
      <c r="I37" s="104">
        <f t="shared" si="8"/>
        <v>-10772.599999999999</v>
      </c>
      <c r="J37" s="104">
        <f t="shared" si="9"/>
        <v>73.72536585365854</v>
      </c>
      <c r="K37" s="127">
        <v>28340.41</v>
      </c>
      <c r="L37" s="127">
        <f t="shared" si="14"/>
        <v>1886.9900000000016</v>
      </c>
      <c r="M37" s="216">
        <f t="shared" si="15"/>
        <v>1.066583016971173</v>
      </c>
      <c r="N37" s="105">
        <f>E37-серпень!E37</f>
        <v>1000</v>
      </c>
      <c r="O37" s="144">
        <f>F37-серпень!F37</f>
        <v>63.9800000000032</v>
      </c>
      <c r="P37" s="106">
        <f t="shared" si="7"/>
        <v>-936.0199999999968</v>
      </c>
      <c r="Q37" s="104">
        <f>O37/N37*100</f>
        <v>6.39800000000032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121300.79</v>
      </c>
      <c r="G38" s="103">
        <f>F38-E38</f>
        <v>1940.7899999999936</v>
      </c>
      <c r="H38" s="105">
        <f t="shared" si="11"/>
        <v>101.6259969839142</v>
      </c>
      <c r="I38" s="104">
        <f t="shared" si="8"/>
        <v>-32038.310000000012</v>
      </c>
      <c r="J38" s="104">
        <f t="shared" si="9"/>
        <v>79.1062357872193</v>
      </c>
      <c r="K38" s="127">
        <v>83755.8</v>
      </c>
      <c r="L38" s="127">
        <f t="shared" si="14"/>
        <v>37544.98999999999</v>
      </c>
      <c r="M38" s="216">
        <f t="shared" si="15"/>
        <v>1.4482673438734988</v>
      </c>
      <c r="N38" s="105">
        <f>E38-серпень!E38</f>
        <v>5500</v>
      </c>
      <c r="O38" s="144">
        <f>F38-серпень!F38</f>
        <v>625.0999999999913</v>
      </c>
      <c r="P38" s="106">
        <f t="shared" si="7"/>
        <v>-4874.900000000009</v>
      </c>
      <c r="Q38" s="104">
        <f>O38/N38*100</f>
        <v>11.365454545454387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26.42</v>
      </c>
      <c r="L39" s="127">
        <f t="shared" si="14"/>
        <v>3.6499999999999986</v>
      </c>
      <c r="M39" s="216">
        <f t="shared" si="15"/>
        <v>1.1381529144587432</v>
      </c>
      <c r="N39" s="105">
        <f>E39-серпень!E39</f>
        <v>0</v>
      </c>
      <c r="O39" s="144">
        <f>F39-серпень!F39</f>
        <v>0</v>
      </c>
      <c r="P39" s="106">
        <f t="shared" si="7"/>
        <v>0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8"/>
        <v>0</v>
      </c>
      <c r="J40" s="37"/>
      <c r="K40" s="119">
        <v>0</v>
      </c>
      <c r="L40" s="119">
        <f t="shared" si="14"/>
        <v>0</v>
      </c>
      <c r="M40" s="217"/>
      <c r="N40" s="137">
        <f>E40-серпень!E40</f>
        <v>0</v>
      </c>
      <c r="O40" s="145">
        <f>F40-серпень!F40</f>
        <v>0</v>
      </c>
      <c r="P40" s="161">
        <f t="shared" si="7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287">
        <f>F42+F43+F44+F45+F46+F48+F50+F51+F52+F53+F54+F59+F60+F64+F47+F49</f>
        <v>50106.94</v>
      </c>
      <c r="G41" s="287">
        <f>G42+G43+G44+G45+G46+G48+G50+G51+G52+G53+G54+G59+G60+G64+G47+G49</f>
        <v>4558.639999999999</v>
      </c>
      <c r="H41" s="287">
        <f>H42+H43+H44+H45+H46+H48+H50+H51+H52+H53+H54+H59+H60+H64+H47+H49</f>
        <v>4558.639999999999</v>
      </c>
      <c r="I41" s="153">
        <f>F41-D41</f>
        <v>-8918.059999999998</v>
      </c>
      <c r="J41" s="153">
        <f>F41/D41*100</f>
        <v>84.89104616687845</v>
      </c>
      <c r="K41" s="287">
        <v>49446.88</v>
      </c>
      <c r="L41" s="151">
        <f t="shared" si="14"/>
        <v>660.060000000005</v>
      </c>
      <c r="M41" s="205">
        <f>F41/K41</f>
        <v>1.013348870545523</v>
      </c>
      <c r="N41" s="151">
        <f>N42+N43+N44+N45+N46+N48+N50+N51+N52+N53+N54+N59+N60+N64+N47+N49</f>
        <v>4970.8</v>
      </c>
      <c r="O41" s="287">
        <f>O42+O43+O44+O45+O46+O48+O50+O51+O52+O53+O54+O59+O60+O64+O47+O49</f>
        <v>2692.04</v>
      </c>
      <c r="P41" s="151">
        <f>P42+P43+P44+P45+P46+P48+P50+P51+P52+P53+P54+P59+P60+P64</f>
        <v>-2271.96</v>
      </c>
      <c r="Q41" s="151">
        <f>O41/N41*100</f>
        <v>54.15707733161664</v>
      </c>
      <c r="R41" s="15">
        <f>R42+R43+R44+R45+R46+R47+R48+R50+R51+R52+R53+R54+R59+R60+R64</f>
        <v>5598.5</v>
      </c>
      <c r="S41" s="15">
        <f>O41-R41</f>
        <v>-2906.46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420.88</v>
      </c>
      <c r="L42" s="165">
        <f t="shared" si="14"/>
        <v>3137.02</v>
      </c>
      <c r="M42" s="218">
        <f>F42/K42</f>
        <v>8.453478426154724</v>
      </c>
      <c r="N42" s="157">
        <f>E42-серпень!E42</f>
        <v>0</v>
      </c>
      <c r="O42" s="160">
        <f>F42-серпень!F42</f>
        <v>0</v>
      </c>
      <c r="P42" s="161">
        <f aca="true" t="shared" si="17" ref="P42:P66">O42-N42</f>
        <v>0</v>
      </c>
      <c r="Q42" s="165" t="e">
        <f>O42/N42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16"/>
        <v>-1604.9900000000016</v>
      </c>
      <c r="H43" s="164">
        <f aca="true" t="shared" si="18" ref="H43:H66">F43-E43</f>
        <v>-1604.9900000000016</v>
      </c>
      <c r="I43" s="165">
        <f aca="true" t="shared" si="19" ref="I43:I66">F43-D43</f>
        <v>-9504.990000000002</v>
      </c>
      <c r="J43" s="165">
        <f>F43/D43*100</f>
        <v>68.3167</v>
      </c>
      <c r="K43" s="165">
        <v>24166.13</v>
      </c>
      <c r="L43" s="165">
        <f aca="true" t="shared" si="20" ref="L43:L66">F43-K43</f>
        <v>-3671.1200000000026</v>
      </c>
      <c r="M43" s="218">
        <f aca="true" t="shared" si="21" ref="M43:M66">F43/K43</f>
        <v>0.8480882127175513</v>
      </c>
      <c r="N43" s="157">
        <f>E43-серпень!E43</f>
        <v>2800</v>
      </c>
      <c r="O43" s="160">
        <f>F43-серпень!F43</f>
        <v>2426.869999999999</v>
      </c>
      <c r="P43" s="161">
        <f t="shared" si="17"/>
        <v>-373.130000000001</v>
      </c>
      <c r="Q43" s="165">
        <f aca="true" t="shared" si="22" ref="Q43:Q65">O43/N43</f>
        <v>0.8667392857142854</v>
      </c>
      <c r="R43" s="37">
        <v>2874.5</v>
      </c>
      <c r="S43" s="37" t="e">
        <f>#N/A</f>
        <v>#N/A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123.3</v>
      </c>
      <c r="G44" s="150">
        <f t="shared" si="16"/>
        <v>98.3</v>
      </c>
      <c r="H44" s="164">
        <f t="shared" si="18"/>
        <v>98.3</v>
      </c>
      <c r="I44" s="165">
        <f t="shared" si="19"/>
        <v>83.3</v>
      </c>
      <c r="J44" s="165">
        <f aca="true" t="shared" si="23" ref="J44:J65">F44/D44*100</f>
        <v>308.25</v>
      </c>
      <c r="K44" s="165">
        <v>31.98</v>
      </c>
      <c r="L44" s="165">
        <f t="shared" si="20"/>
        <v>91.32</v>
      </c>
      <c r="M44" s="218">
        <f t="shared" si="21"/>
        <v>3.8555347091932455</v>
      </c>
      <c r="N44" s="157">
        <f>E44-серпень!E44</f>
        <v>1</v>
      </c>
      <c r="O44" s="160">
        <f>F44-серпень!F44</f>
        <v>0</v>
      </c>
      <c r="P44" s="161">
        <f t="shared" si="17"/>
        <v>-1</v>
      </c>
      <c r="Q44" s="165">
        <f t="shared" si="22"/>
        <v>0</v>
      </c>
      <c r="R44" s="37">
        <v>10</v>
      </c>
      <c r="S44" s="37" t="e">
        <f>#N/A</f>
        <v>#N/A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E45-серпень!E45</f>
        <v>0</v>
      </c>
      <c r="O45" s="160">
        <f>F45-серпень!F45</f>
        <v>0</v>
      </c>
      <c r="P45" s="161">
        <f t="shared" si="17"/>
        <v>0</v>
      </c>
      <c r="Q45" s="165"/>
      <c r="R45" s="37">
        <v>0</v>
      </c>
      <c r="S45" s="37" t="e">
        <f>#N/A</f>
        <v>#N/A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605.25</v>
      </c>
      <c r="G46" s="150">
        <f t="shared" si="16"/>
        <v>411.25</v>
      </c>
      <c r="H46" s="164">
        <f t="shared" si="18"/>
        <v>411.25</v>
      </c>
      <c r="I46" s="165">
        <f t="shared" si="19"/>
        <v>345.25</v>
      </c>
      <c r="J46" s="165">
        <f t="shared" si="23"/>
        <v>232.78846153846155</v>
      </c>
      <c r="K46" s="165">
        <v>197.12</v>
      </c>
      <c r="L46" s="165">
        <f t="shared" si="20"/>
        <v>408.13</v>
      </c>
      <c r="M46" s="218">
        <f t="shared" si="21"/>
        <v>3.0704646915584415</v>
      </c>
      <c r="N46" s="157">
        <f>E46-серпень!E46</f>
        <v>22</v>
      </c>
      <c r="O46" s="160">
        <f>F46-серпень!F46</f>
        <v>6.100000000000023</v>
      </c>
      <c r="P46" s="161">
        <f t="shared" si="17"/>
        <v>-15.899999999999977</v>
      </c>
      <c r="Q46" s="165">
        <f t="shared" si="22"/>
        <v>0.2772727272727283</v>
      </c>
      <c r="R46" s="37">
        <v>70</v>
      </c>
      <c r="S46" s="37" t="e">
        <f>#N/A</f>
        <v>#N/A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71.63</v>
      </c>
      <c r="G47" s="150">
        <f t="shared" si="16"/>
        <v>-3.1700000000000017</v>
      </c>
      <c r="H47" s="164">
        <f t="shared" si="18"/>
        <v>-3.1700000000000017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E47-серпень!E47</f>
        <v>6.799999999999997</v>
      </c>
      <c r="O47" s="160">
        <f>F47-серпень!F47</f>
        <v>0</v>
      </c>
      <c r="P47" s="161">
        <f t="shared" si="17"/>
        <v>-6.799999999999997</v>
      </c>
      <c r="Q47" s="165">
        <f t="shared" si="22"/>
        <v>0</v>
      </c>
      <c r="R47" s="37">
        <v>0</v>
      </c>
      <c r="S47" s="37" t="e">
        <f>#N/A</f>
        <v>#N/A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824.23</v>
      </c>
      <c r="G48" s="150">
        <f t="shared" si="16"/>
        <v>184.23000000000002</v>
      </c>
      <c r="H48" s="164">
        <f t="shared" si="18"/>
        <v>184.23000000000002</v>
      </c>
      <c r="I48" s="165">
        <f t="shared" si="19"/>
        <v>94.23000000000002</v>
      </c>
      <c r="J48" s="165">
        <f t="shared" si="23"/>
        <v>112.9082191780822</v>
      </c>
      <c r="K48" s="165">
        <v>428.63</v>
      </c>
      <c r="L48" s="165">
        <f t="shared" si="20"/>
        <v>395.6</v>
      </c>
      <c r="M48" s="218">
        <f t="shared" si="21"/>
        <v>1.9229405314607004</v>
      </c>
      <c r="N48" s="157">
        <f>E48-серпень!E48</f>
        <v>60</v>
      </c>
      <c r="O48" s="160">
        <f>F48-серпень!F48</f>
        <v>11.360000000000014</v>
      </c>
      <c r="P48" s="161">
        <f t="shared" si="17"/>
        <v>-48.639999999999986</v>
      </c>
      <c r="Q48" s="165">
        <f t="shared" si="22"/>
        <v>0.18933333333333355</v>
      </c>
      <c r="R48" s="37">
        <v>100</v>
      </c>
      <c r="S48" s="37" t="e">
        <f>#N/A</f>
        <v>#N/A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/>
      <c r="K49" s="165"/>
      <c r="L49" s="165">
        <f t="shared" si="20"/>
        <v>23.38</v>
      </c>
      <c r="M49" s="218"/>
      <c r="N49" s="157">
        <f>E49-серпень!E49</f>
        <v>0</v>
      </c>
      <c r="O49" s="160">
        <f>F49-серпень!F49</f>
        <v>0</v>
      </c>
      <c r="P49" s="161">
        <f t="shared" si="17"/>
        <v>0</v>
      </c>
      <c r="Q49" s="165"/>
      <c r="R49" s="37"/>
      <c r="S49" s="37" t="e">
        <f>#N/A</f>
        <v>#N/A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13086.34</v>
      </c>
      <c r="G50" s="150">
        <f t="shared" si="16"/>
        <v>4146.34</v>
      </c>
      <c r="H50" s="164">
        <f t="shared" si="18"/>
        <v>4146.34</v>
      </c>
      <c r="I50" s="165">
        <f t="shared" si="19"/>
        <v>2086.34</v>
      </c>
      <c r="J50" s="165">
        <f t="shared" si="23"/>
        <v>118.96672727272728</v>
      </c>
      <c r="K50" s="165">
        <v>8067.74</v>
      </c>
      <c r="L50" s="165">
        <f t="shared" si="20"/>
        <v>5018.6</v>
      </c>
      <c r="M50" s="218">
        <f t="shared" si="21"/>
        <v>1.622057726203373</v>
      </c>
      <c r="N50" s="157">
        <f>E50-серпень!E50</f>
        <v>1000</v>
      </c>
      <c r="O50" s="160">
        <f>F50-серпень!F50</f>
        <v>172.52000000000044</v>
      </c>
      <c r="P50" s="161">
        <f t="shared" si="17"/>
        <v>-827.4799999999996</v>
      </c>
      <c r="Q50" s="165">
        <f t="shared" si="22"/>
        <v>0.17252000000000042</v>
      </c>
      <c r="R50" s="37">
        <v>1400</v>
      </c>
      <c r="S50" s="37" t="e">
        <f>#N/A</f>
        <v>#N/A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384.72</v>
      </c>
      <c r="G51" s="150">
        <f t="shared" si="16"/>
        <v>149.72000000000003</v>
      </c>
      <c r="H51" s="164">
        <f t="shared" si="18"/>
        <v>149.72000000000003</v>
      </c>
      <c r="I51" s="165">
        <f t="shared" si="19"/>
        <v>74.72000000000003</v>
      </c>
      <c r="J51" s="165">
        <f t="shared" si="23"/>
        <v>124.1032258064516</v>
      </c>
      <c r="K51" s="165">
        <v>210.12</v>
      </c>
      <c r="L51" s="165">
        <f t="shared" si="20"/>
        <v>174.60000000000002</v>
      </c>
      <c r="M51" s="218">
        <f t="shared" si="21"/>
        <v>1.8309537407195888</v>
      </c>
      <c r="N51" s="157">
        <f>E51-серпень!E51</f>
        <v>25</v>
      </c>
      <c r="O51" s="160">
        <f>F51-серпень!F51</f>
        <v>8.480000000000018</v>
      </c>
      <c r="P51" s="161">
        <f t="shared" si="17"/>
        <v>-16.519999999999982</v>
      </c>
      <c r="Q51" s="165">
        <f t="shared" si="22"/>
        <v>0.3392000000000007</v>
      </c>
      <c r="R51" s="37">
        <v>40</v>
      </c>
      <c r="S51" s="37" t="e">
        <f>#N/A</f>
        <v>#N/A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31.68</v>
      </c>
      <c r="G52" s="150">
        <f t="shared" si="16"/>
        <v>14.68</v>
      </c>
      <c r="H52" s="164">
        <f t="shared" si="18"/>
        <v>14.68</v>
      </c>
      <c r="I52" s="165">
        <f t="shared" si="19"/>
        <v>11.68</v>
      </c>
      <c r="J52" s="165">
        <f t="shared" si="23"/>
        <v>158.4</v>
      </c>
      <c r="K52" s="165">
        <v>16.68</v>
      </c>
      <c r="L52" s="165">
        <f t="shared" si="20"/>
        <v>15</v>
      </c>
      <c r="M52" s="218">
        <f t="shared" si="21"/>
        <v>1.8992805755395683</v>
      </c>
      <c r="N52" s="157">
        <f>E52-серпень!E52</f>
        <v>1</v>
      </c>
      <c r="O52" s="160">
        <f>F52-серпень!F52</f>
        <v>0</v>
      </c>
      <c r="P52" s="161">
        <f t="shared" si="17"/>
        <v>-1</v>
      </c>
      <c r="Q52" s="165">
        <f t="shared" si="22"/>
        <v>0</v>
      </c>
      <c r="R52" s="37">
        <v>4</v>
      </c>
      <c r="S52" s="37" t="e">
        <f>#N/A</f>
        <v>#N/A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4333.34</v>
      </c>
      <c r="G53" s="150">
        <f t="shared" si="16"/>
        <v>-1126.6599999999999</v>
      </c>
      <c r="H53" s="164">
        <f t="shared" si="18"/>
        <v>-1126.6599999999999</v>
      </c>
      <c r="I53" s="165">
        <f t="shared" si="19"/>
        <v>-2941.66</v>
      </c>
      <c r="J53" s="165">
        <f t="shared" si="23"/>
        <v>59.56481099656358</v>
      </c>
      <c r="K53" s="165">
        <v>5625.22</v>
      </c>
      <c r="L53" s="165">
        <f t="shared" si="20"/>
        <v>-1291.88</v>
      </c>
      <c r="M53" s="218">
        <f t="shared" si="21"/>
        <v>0.7703414266464245</v>
      </c>
      <c r="N53" s="157">
        <f>E53-серпень!E53</f>
        <v>605</v>
      </c>
      <c r="O53" s="160">
        <f>F53-серпень!F53</f>
        <v>0</v>
      </c>
      <c r="P53" s="161">
        <f t="shared" si="17"/>
        <v>-605</v>
      </c>
      <c r="Q53" s="165">
        <f t="shared" si="22"/>
        <v>0</v>
      </c>
      <c r="R53" s="37">
        <v>550</v>
      </c>
      <c r="S53" s="37" t="e">
        <f>#N/A</f>
        <v>#N/A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554.23</v>
      </c>
      <c r="G54" s="150">
        <f t="shared" si="16"/>
        <v>-335.77</v>
      </c>
      <c r="H54" s="164">
        <f t="shared" si="18"/>
        <v>-335.77</v>
      </c>
      <c r="I54" s="165">
        <f t="shared" si="19"/>
        <v>-645.77</v>
      </c>
      <c r="J54" s="165">
        <f t="shared" si="23"/>
        <v>46.185833333333335</v>
      </c>
      <c r="K54" s="165">
        <v>4925.62</v>
      </c>
      <c r="L54" s="165">
        <f t="shared" si="20"/>
        <v>-4371.389999999999</v>
      </c>
      <c r="M54" s="218">
        <f t="shared" si="21"/>
        <v>0.11251984521745487</v>
      </c>
      <c r="N54" s="157">
        <f>E54-серпень!E54</f>
        <v>100</v>
      </c>
      <c r="O54" s="160">
        <f>F54-серпень!F54</f>
        <v>3.240000000000009</v>
      </c>
      <c r="P54" s="161">
        <f t="shared" si="17"/>
        <v>-96.75999999999999</v>
      </c>
      <c r="Q54" s="165">
        <f t="shared" si="22"/>
        <v>0.03240000000000009</v>
      </c>
      <c r="R54" s="37">
        <v>50</v>
      </c>
      <c r="S54" s="37" t="e">
        <f>#N/A</f>
        <v>#N/A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468.58</v>
      </c>
      <c r="G55" s="103">
        <f t="shared" si="16"/>
        <v>-271.42</v>
      </c>
      <c r="H55" s="105">
        <f t="shared" si="18"/>
        <v>-271.42</v>
      </c>
      <c r="I55" s="104">
        <f t="shared" si="19"/>
        <v>-529.4200000000001</v>
      </c>
      <c r="J55" s="104">
        <f t="shared" si="23"/>
        <v>46.95190380761523</v>
      </c>
      <c r="K55" s="104">
        <v>643.11</v>
      </c>
      <c r="L55" s="165">
        <f t="shared" si="20"/>
        <v>-174.53000000000003</v>
      </c>
      <c r="M55" s="218">
        <f t="shared" si="21"/>
        <v>0.7286156334064157</v>
      </c>
      <c r="N55" s="105">
        <f>E55-серпень!E55</f>
        <v>80</v>
      </c>
      <c r="O55" s="144">
        <f>F55-серпень!F55</f>
        <v>1.599999999999966</v>
      </c>
      <c r="P55" s="106">
        <f t="shared" si="17"/>
        <v>-78.40000000000003</v>
      </c>
      <c r="Q55" s="104">
        <f t="shared" si="22"/>
        <v>0.019999999999999574</v>
      </c>
      <c r="R55" s="37"/>
      <c r="S55" s="37" t="e">
        <f>#N/A</f>
        <v>#N/A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E56-серпень!E56</f>
        <v>0</v>
      </c>
      <c r="O56" s="144">
        <f>F56-серпень!F56</f>
        <v>0</v>
      </c>
      <c r="P56" s="106">
        <f t="shared" si="17"/>
        <v>0</v>
      </c>
      <c r="Q56" s="104"/>
      <c r="R56" s="37"/>
      <c r="S56" s="37" t="e">
        <f>#N/A</f>
        <v>#N/A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E57-серпень!E57</f>
        <v>0</v>
      </c>
      <c r="O57" s="144">
        <f>F57-серпень!F57</f>
        <v>0</v>
      </c>
      <c r="P57" s="106">
        <f t="shared" si="17"/>
        <v>0</v>
      </c>
      <c r="Q57" s="104"/>
      <c r="R57" s="37"/>
      <c r="S57" s="37" t="e">
        <f>#N/A</f>
        <v>#N/A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85.5</v>
      </c>
      <c r="G58" s="103">
        <f t="shared" si="16"/>
        <v>-64.5</v>
      </c>
      <c r="H58" s="105">
        <f t="shared" si="18"/>
        <v>-64.5</v>
      </c>
      <c r="I58" s="104">
        <f t="shared" si="19"/>
        <v>-114.5</v>
      </c>
      <c r="J58" s="104">
        <f t="shared" si="23"/>
        <v>42.75</v>
      </c>
      <c r="K58" s="104">
        <v>4282.22</v>
      </c>
      <c r="L58" s="165">
        <f t="shared" si="20"/>
        <v>-4196.72</v>
      </c>
      <c r="M58" s="218">
        <f t="shared" si="21"/>
        <v>0.019966279172952347</v>
      </c>
      <c r="N58" s="105">
        <f>E58-серпень!E58</f>
        <v>20</v>
      </c>
      <c r="O58" s="144">
        <f>F58-серпень!F58</f>
        <v>1.6400000000000006</v>
      </c>
      <c r="P58" s="106">
        <f t="shared" si="17"/>
        <v>-18.36</v>
      </c>
      <c r="Q58" s="104">
        <f t="shared" si="22"/>
        <v>0.08200000000000003</v>
      </c>
      <c r="R58" s="37"/>
      <c r="S58" s="37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E59-серпень!E59</f>
        <v>0</v>
      </c>
      <c r="O59" s="160">
        <f>F59-серпень!F59</f>
        <v>0</v>
      </c>
      <c r="P59" s="161">
        <f t="shared" si="17"/>
        <v>0</v>
      </c>
      <c r="Q59" s="165"/>
      <c r="R59" s="37">
        <v>0</v>
      </c>
      <c r="S59" s="37" t="e">
        <f>#N/A</f>
        <v>#N/A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5940.8</v>
      </c>
      <c r="G60" s="150">
        <f t="shared" si="16"/>
        <v>-459.1999999999998</v>
      </c>
      <c r="H60" s="164">
        <f t="shared" si="18"/>
        <v>-459.1999999999998</v>
      </c>
      <c r="I60" s="165">
        <f t="shared" si="19"/>
        <v>-1409.1999999999998</v>
      </c>
      <c r="J60" s="165">
        <f t="shared" si="23"/>
        <v>80.82721088435375</v>
      </c>
      <c r="K60" s="165">
        <v>5154.13</v>
      </c>
      <c r="L60" s="165">
        <f t="shared" si="20"/>
        <v>786.6700000000001</v>
      </c>
      <c r="M60" s="218">
        <f t="shared" si="21"/>
        <v>1.1526290566982207</v>
      </c>
      <c r="N60" s="157">
        <f>E60-серпень!E60</f>
        <v>340</v>
      </c>
      <c r="O60" s="160">
        <f>F60-серпень!F60</f>
        <v>63.470000000000255</v>
      </c>
      <c r="P60" s="161">
        <f t="shared" si="17"/>
        <v>-276.52999999999975</v>
      </c>
      <c r="Q60" s="165">
        <f t="shared" si="22"/>
        <v>0.18667647058823605</v>
      </c>
      <c r="R60" s="37">
        <v>500</v>
      </c>
      <c r="S60" s="37" t="e">
        <f>#N/A</f>
        <v>#N/A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E61-серпень!E61</f>
        <v>0</v>
      </c>
      <c r="O61" s="160">
        <f>F61-серпень!F61</f>
        <v>0</v>
      </c>
      <c r="P61" s="161">
        <f t="shared" si="17"/>
        <v>0</v>
      </c>
      <c r="Q61" s="165" t="e">
        <f t="shared" si="22"/>
        <v>#DIV/0!</v>
      </c>
      <c r="R61" s="37"/>
      <c r="S61" s="37" t="e">
        <f>#N/A</f>
        <v>#N/A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1417.6</v>
      </c>
      <c r="G62" s="150">
        <f t="shared" si="16"/>
        <v>1417.6</v>
      </c>
      <c r="H62" s="164">
        <f t="shared" si="18"/>
        <v>1417.6</v>
      </c>
      <c r="I62" s="165">
        <f t="shared" si="19"/>
        <v>1417.6</v>
      </c>
      <c r="J62" s="165"/>
      <c r="K62" s="166">
        <v>1002.97</v>
      </c>
      <c r="L62" s="165">
        <f t="shared" si="20"/>
        <v>414.6299999999999</v>
      </c>
      <c r="M62" s="218">
        <f t="shared" si="21"/>
        <v>1.413402195479426</v>
      </c>
      <c r="N62" s="157">
        <f>E62-серпень!E62</f>
        <v>0</v>
      </c>
      <c r="O62" s="160">
        <f>F62-серпень!F62</f>
        <v>11.25</v>
      </c>
      <c r="P62" s="161">
        <f t="shared" si="17"/>
        <v>11.25</v>
      </c>
      <c r="Q62" s="165"/>
      <c r="R62" s="37"/>
      <c r="S62" s="37" t="e">
        <f>#N/A</f>
        <v>#N/A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E63-серпень!E63</f>
        <v>0</v>
      </c>
      <c r="O63" s="160">
        <f>F63-серпень!F63</f>
        <v>0</v>
      </c>
      <c r="P63" s="161">
        <f t="shared" si="17"/>
        <v>0</v>
      </c>
      <c r="Q63" s="165" t="e">
        <f t="shared" si="22"/>
        <v>#DIV/0!</v>
      </c>
      <c r="R63" s="37"/>
      <c r="S63" s="37" t="e">
        <f>#N/A</f>
        <v>#N/A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6"/>
        <v>-29.86</v>
      </c>
      <c r="H64" s="164">
        <f t="shared" si="18"/>
        <v>-29.86</v>
      </c>
      <c r="I64" s="165">
        <f t="shared" si="19"/>
        <v>-99.86</v>
      </c>
      <c r="J64" s="165">
        <f t="shared" si="23"/>
        <v>37.5875</v>
      </c>
      <c r="K64" s="165">
        <v>158.93</v>
      </c>
      <c r="L64" s="165">
        <f t="shared" si="20"/>
        <v>-98.79</v>
      </c>
      <c r="M64" s="218">
        <f t="shared" si="21"/>
        <v>0.37840558736550683</v>
      </c>
      <c r="N64" s="157">
        <f>E64-серпень!E64</f>
        <v>10</v>
      </c>
      <c r="O64" s="160">
        <f>F64-серпень!F64</f>
        <v>0</v>
      </c>
      <c r="P64" s="161">
        <f t="shared" si="17"/>
        <v>-10</v>
      </c>
      <c r="Q64" s="165">
        <f t="shared" si="22"/>
        <v>0</v>
      </c>
      <c r="R64" s="37">
        <v>0</v>
      </c>
      <c r="S64" s="37" t="e">
        <f>#N/A</f>
        <v>#N/A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30.95</v>
      </c>
      <c r="G65" s="150">
        <f t="shared" si="16"/>
        <v>19.65</v>
      </c>
      <c r="H65" s="164">
        <f t="shared" si="18"/>
        <v>19.65</v>
      </c>
      <c r="I65" s="165">
        <f t="shared" si="19"/>
        <v>15.95</v>
      </c>
      <c r="J65" s="165">
        <f t="shared" si="23"/>
        <v>206.33333333333334</v>
      </c>
      <c r="K65" s="165">
        <v>13.52</v>
      </c>
      <c r="L65" s="165">
        <f t="shared" si="20"/>
        <v>17.43</v>
      </c>
      <c r="M65" s="218">
        <f t="shared" si="21"/>
        <v>2.2892011834319526</v>
      </c>
      <c r="N65" s="157">
        <f>E65-серпень!E65</f>
        <v>1.1999999999999993</v>
      </c>
      <c r="O65" s="160">
        <f>F65-серпень!F65</f>
        <v>0</v>
      </c>
      <c r="P65" s="161">
        <f t="shared" si="17"/>
        <v>-1.1999999999999993</v>
      </c>
      <c r="Q65" s="165">
        <f t="shared" si="22"/>
        <v>0</v>
      </c>
      <c r="R65" s="37">
        <v>3.2</v>
      </c>
      <c r="S65" s="37" t="e">
        <f>#N/A</f>
        <v>#N/A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1.02</v>
      </c>
      <c r="L66" s="165">
        <f t="shared" si="20"/>
        <v>-6.1899999999999995</v>
      </c>
      <c r="M66" s="218">
        <f t="shared" si="21"/>
        <v>-5.068627450980392</v>
      </c>
      <c r="N66" s="157">
        <f>E66-серпень!E66</f>
        <v>0</v>
      </c>
      <c r="O66" s="160">
        <f>F66-серпень!F66</f>
        <v>0</v>
      </c>
      <c r="P66" s="161">
        <f t="shared" si="17"/>
        <v>0</v>
      </c>
      <c r="Q66" s="165"/>
      <c r="R66" s="37">
        <v>0</v>
      </c>
      <c r="S66" s="37" t="e">
        <f>#N/A</f>
        <v>#N/A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893055.4599999998</v>
      </c>
      <c r="G67" s="151">
        <f>F67-E67</f>
        <v>-99135.74000000022</v>
      </c>
      <c r="H67" s="152">
        <f>F67/E67*100</f>
        <v>90.00840362220505</v>
      </c>
      <c r="I67" s="153">
        <f>F67-D67</f>
        <v>-464435.64000000025</v>
      </c>
      <c r="J67" s="153">
        <f>F67/D67*100</f>
        <v>65.78720552937693</v>
      </c>
      <c r="K67" s="151">
        <v>757500.07</v>
      </c>
      <c r="L67" s="153">
        <f>F67-K67</f>
        <v>135555.3899999999</v>
      </c>
      <c r="M67" s="219">
        <f>F67/K67</f>
        <v>1.1789509933642646</v>
      </c>
      <c r="N67" s="151">
        <f>N8+N41+N65+N66</f>
        <v>105792.39999999997</v>
      </c>
      <c r="O67" s="151">
        <f>O8+O41+O65+O66</f>
        <v>7541.2999999999365</v>
      </c>
      <c r="P67" s="194">
        <f>O67-N67</f>
        <v>-98251.10000000003</v>
      </c>
      <c r="Q67" s="153">
        <f>O67/N67*100</f>
        <v>7.12839485634123</v>
      </c>
      <c r="R67" s="27">
        <f>R8+R41+R65+R66</f>
        <v>108115.7</v>
      </c>
      <c r="S67" s="280">
        <f>O67-R67</f>
        <v>-100574.40000000007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E73-серпень!E73</f>
        <v>0</v>
      </c>
      <c r="O73" s="160">
        <f>F73-серпень!F73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-3.8200000000000003</v>
      </c>
      <c r="L74" s="187">
        <f aca="true" t="shared" si="24" ref="L74:L86">F74-K74</f>
        <v>1.19</v>
      </c>
      <c r="M74" s="214">
        <f aca="true" t="shared" si="25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6" ref="G75:G86">F75-E75</f>
        <v>35.57</v>
      </c>
      <c r="H75" s="186"/>
      <c r="I75" s="187">
        <f>F75-D75</f>
        <v>35.57</v>
      </c>
      <c r="J75" s="187"/>
      <c r="K75" s="187">
        <v>0</v>
      </c>
      <c r="L75" s="187">
        <f t="shared" si="24"/>
        <v>35.57</v>
      </c>
      <c r="M75" s="209"/>
      <c r="N75" s="186">
        <f>E75-серпень!E75</f>
        <v>0</v>
      </c>
      <c r="O75" s="289">
        <f>F75-червень!F75</f>
        <v>0</v>
      </c>
      <c r="P75" s="187">
        <f aca="true" t="shared" si="27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26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>
        <v>1553.95</v>
      </c>
      <c r="L76" s="167">
        <f t="shared" si="24"/>
        <v>-1550.14</v>
      </c>
      <c r="M76" s="209">
        <f t="shared" si="25"/>
        <v>0.0024518163390070467</v>
      </c>
      <c r="N76" s="157">
        <f>E76-серпень!E76</f>
        <v>21500</v>
      </c>
      <c r="O76" s="160">
        <f>F76-серпень!F76</f>
        <v>0</v>
      </c>
      <c r="P76" s="167">
        <f t="shared" si="27"/>
        <v>-21500</v>
      </c>
      <c r="Q76" s="167">
        <f>O76/N76*100</f>
        <v>0</v>
      </c>
      <c r="R76" s="38">
        <v>0</v>
      </c>
      <c r="S76" s="38" t="e">
        <f>#N/A</f>
        <v>#N/A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5970.15</v>
      </c>
      <c r="G77" s="162">
        <f t="shared" si="26"/>
        <v>-20459.85</v>
      </c>
      <c r="H77" s="164">
        <f>F77/E77*100</f>
        <v>22.58853575482406</v>
      </c>
      <c r="I77" s="167">
        <f aca="true" t="shared" si="28" ref="I77:I86">F77-D77</f>
        <v>-48029.85</v>
      </c>
      <c r="J77" s="167">
        <f>F77/D77*100</f>
        <v>11.055833333333332</v>
      </c>
      <c r="K77" s="167">
        <v>6903.45</v>
      </c>
      <c r="L77" s="167">
        <f t="shared" si="24"/>
        <v>-933.3000000000002</v>
      </c>
      <c r="M77" s="209">
        <f t="shared" si="25"/>
        <v>0.864806727071247</v>
      </c>
      <c r="N77" s="157">
        <f>E77-серпень!E77</f>
        <v>3600</v>
      </c>
      <c r="O77" s="160">
        <f>F77-серпень!F77</f>
        <v>0</v>
      </c>
      <c r="P77" s="167">
        <f t="shared" si="27"/>
        <v>-3600</v>
      </c>
      <c r="Q77" s="167">
        <f>O77/N77*100</f>
        <v>0</v>
      </c>
      <c r="R77" s="38">
        <v>200</v>
      </c>
      <c r="S77" s="38" t="e">
        <f>#N/A</f>
        <v>#N/A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8452.48</v>
      </c>
      <c r="G78" s="162">
        <f t="shared" si="26"/>
        <v>-19297.52</v>
      </c>
      <c r="H78" s="164">
        <f>F78/E78*100</f>
        <v>30.459387387387387</v>
      </c>
      <c r="I78" s="167">
        <f t="shared" si="28"/>
        <v>-70547.52</v>
      </c>
      <c r="J78" s="167">
        <f>F78/D78*100</f>
        <v>10.699341772151898</v>
      </c>
      <c r="K78" s="167">
        <v>12116.42</v>
      </c>
      <c r="L78" s="167">
        <f t="shared" si="24"/>
        <v>-3663.9400000000005</v>
      </c>
      <c r="M78" s="209">
        <f t="shared" si="25"/>
        <v>0.6976053982942155</v>
      </c>
      <c r="N78" s="157">
        <f>E78-серпень!E78</f>
        <v>3850</v>
      </c>
      <c r="O78" s="160">
        <f>F78-серпень!F78</f>
        <v>418.5599999999995</v>
      </c>
      <c r="P78" s="167">
        <f t="shared" si="27"/>
        <v>-3431.4400000000005</v>
      </c>
      <c r="Q78" s="167">
        <f>O78/N78*100</f>
        <v>10.871688311688299</v>
      </c>
      <c r="R78" s="38">
        <v>1500</v>
      </c>
      <c r="S78" s="38" t="e">
        <f>#N/A</f>
        <v>#N/A</v>
      </c>
    </row>
    <row r="79" spans="2:19" ht="18">
      <c r="B79" s="23" t="s">
        <v>101</v>
      </c>
      <c r="C79" s="73">
        <v>24110700</v>
      </c>
      <c r="D79" s="180">
        <v>12</v>
      </c>
      <c r="E79" s="180">
        <v>9</v>
      </c>
      <c r="F79" s="181">
        <v>9</v>
      </c>
      <c r="G79" s="162">
        <f t="shared" si="26"/>
        <v>0</v>
      </c>
      <c r="H79" s="164">
        <f>F79/E79*100</f>
        <v>100</v>
      </c>
      <c r="I79" s="167">
        <f t="shared" si="28"/>
        <v>-3</v>
      </c>
      <c r="J79" s="167">
        <f>F79/D79*100</f>
        <v>75</v>
      </c>
      <c r="K79" s="167">
        <v>10</v>
      </c>
      <c r="L79" s="167">
        <f t="shared" si="24"/>
        <v>-1</v>
      </c>
      <c r="M79" s="209">
        <f t="shared" si="25"/>
        <v>0.9</v>
      </c>
      <c r="N79" s="157">
        <f>E79-серпень!E79</f>
        <v>1</v>
      </c>
      <c r="O79" s="160">
        <f>F79-серпень!F79</f>
        <v>0</v>
      </c>
      <c r="P79" s="167">
        <f t="shared" si="27"/>
        <v>-1</v>
      </c>
      <c r="Q79" s="167">
        <f>O79/N79*100</f>
        <v>0</v>
      </c>
      <c r="R79" s="38">
        <v>1</v>
      </c>
      <c r="S79" s="38" t="e">
        <f>#N/A</f>
        <v>#N/A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14435.439999999999</v>
      </c>
      <c r="G80" s="185">
        <f t="shared" si="26"/>
        <v>-79253.56</v>
      </c>
      <c r="H80" s="186">
        <f>F80/E80*100</f>
        <v>15.407828026769415</v>
      </c>
      <c r="I80" s="187">
        <f t="shared" si="28"/>
        <v>-222782.59</v>
      </c>
      <c r="J80" s="187">
        <f>F80/D80*100</f>
        <v>6.0853047299988114</v>
      </c>
      <c r="K80" s="187">
        <v>20583.82</v>
      </c>
      <c r="L80" s="167">
        <f t="shared" si="24"/>
        <v>-6148.380000000001</v>
      </c>
      <c r="M80" s="209">
        <f t="shared" si="25"/>
        <v>0.7013003417247138</v>
      </c>
      <c r="N80" s="185">
        <f>N76+N77+N78+N79</f>
        <v>28951</v>
      </c>
      <c r="O80" s="189">
        <f>O76+O77+O78+O79</f>
        <v>418.5599999999995</v>
      </c>
      <c r="P80" s="187">
        <f t="shared" si="27"/>
        <v>-28532.440000000002</v>
      </c>
      <c r="Q80" s="187">
        <f>O80/N80*100</f>
        <v>1.4457531691478687</v>
      </c>
      <c r="R80" s="39">
        <f>SUM(R76:R79)</f>
        <v>1701</v>
      </c>
      <c r="S80" s="39" t="e">
        <f>#N/A</f>
        <v>#N/A</v>
      </c>
    </row>
    <row r="81" spans="2:19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6"/>
        <v>19.14</v>
      </c>
      <c r="H81" s="164"/>
      <c r="I81" s="167">
        <f t="shared" si="28"/>
        <v>-1.8599999999999994</v>
      </c>
      <c r="J81" s="167"/>
      <c r="K81" s="167">
        <v>35.78</v>
      </c>
      <c r="L81" s="167">
        <f t="shared" si="24"/>
        <v>2.3599999999999994</v>
      </c>
      <c r="M81" s="209">
        <f t="shared" si="25"/>
        <v>1.0659586361095583</v>
      </c>
      <c r="N81" s="157">
        <f>E81-серпень!E81</f>
        <v>15</v>
      </c>
      <c r="O81" s="160">
        <f>F81-серпень!F81</f>
        <v>0</v>
      </c>
      <c r="P81" s="167">
        <f t="shared" si="27"/>
        <v>-15</v>
      </c>
      <c r="Q81" s="167"/>
      <c r="R81" s="38">
        <v>1</v>
      </c>
      <c r="S81" s="38" t="e">
        <f>#N/A</f>
        <v>#N/A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6"/>
        <v>0</v>
      </c>
      <c r="H82" s="164"/>
      <c r="I82" s="167">
        <f t="shared" si="28"/>
        <v>0</v>
      </c>
      <c r="J82" s="190"/>
      <c r="K82" s="167">
        <v>0</v>
      </c>
      <c r="L82" s="167">
        <f t="shared" si="24"/>
        <v>0</v>
      </c>
      <c r="M82" s="209" t="e">
        <f t="shared" si="25"/>
        <v>#DIV/0!</v>
      </c>
      <c r="N82" s="157">
        <f>E82-серпень!E82</f>
        <v>0</v>
      </c>
      <c r="O82" s="160">
        <f>F82-серпень!F82</f>
        <v>0</v>
      </c>
      <c r="P82" s="167">
        <f t="shared" si="27"/>
        <v>0</v>
      </c>
      <c r="Q82" s="190"/>
      <c r="R82" s="41"/>
      <c r="S82" s="38" t="e">
        <f>#N/A</f>
        <v>#N/A</v>
      </c>
    </row>
    <row r="83" spans="2:19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6573.76</v>
      </c>
      <c r="G83" s="162">
        <f t="shared" si="26"/>
        <v>180.0600000000004</v>
      </c>
      <c r="H83" s="164">
        <f>F83/E83*100</f>
        <v>102.81620970642977</v>
      </c>
      <c r="I83" s="167">
        <f t="shared" si="28"/>
        <v>-1786.2399999999998</v>
      </c>
      <c r="J83" s="167">
        <f>F83/D83*100</f>
        <v>78.63349282296652</v>
      </c>
      <c r="K83" s="167">
        <v>6825.67</v>
      </c>
      <c r="L83" s="167">
        <f t="shared" si="24"/>
        <v>-251.90999999999985</v>
      </c>
      <c r="M83" s="209">
        <f t="shared" si="25"/>
        <v>0.9630937329229219</v>
      </c>
      <c r="N83" s="157">
        <f>E83-серпень!E83</f>
        <v>0.4999999999990905</v>
      </c>
      <c r="O83" s="160">
        <f>F83-серпень!F83</f>
        <v>0</v>
      </c>
      <c r="P83" s="167">
        <f t="shared" si="27"/>
        <v>-0.4999999999990905</v>
      </c>
      <c r="Q83" s="167">
        <f>O83/N83*100</f>
        <v>0</v>
      </c>
      <c r="R83" s="41">
        <v>2850</v>
      </c>
      <c r="S83" s="288" t="e">
        <f>#N/A</f>
        <v>#N/A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6"/>
        <v>0.08</v>
      </c>
      <c r="H84" s="164"/>
      <c r="I84" s="167">
        <f t="shared" si="28"/>
        <v>0.08</v>
      </c>
      <c r="J84" s="167"/>
      <c r="K84" s="167">
        <v>1.22</v>
      </c>
      <c r="L84" s="167">
        <f t="shared" si="24"/>
        <v>-1.14</v>
      </c>
      <c r="M84" s="209">
        <f t="shared" si="25"/>
        <v>0.06557377049180328</v>
      </c>
      <c r="N84" s="157">
        <f>E84-серпень!E84</f>
        <v>0</v>
      </c>
      <c r="O84" s="160">
        <f>F84-серпень!F84</f>
        <v>0</v>
      </c>
      <c r="P84" s="167">
        <f t="shared" si="27"/>
        <v>0</v>
      </c>
      <c r="Q84" s="190"/>
      <c r="R84" s="38">
        <v>0</v>
      </c>
      <c r="S84" s="38" t="e">
        <f>#N/A</f>
        <v>#N/A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6611.9800000000005</v>
      </c>
      <c r="G85" s="185">
        <f t="shared" si="26"/>
        <v>199.28000000000065</v>
      </c>
      <c r="H85" s="186">
        <f>F85/E85*100</f>
        <v>103.10758338921204</v>
      </c>
      <c r="I85" s="187">
        <f t="shared" si="28"/>
        <v>-1788.0199999999995</v>
      </c>
      <c r="J85" s="187">
        <f>F85/D85*100</f>
        <v>78.71404761904762</v>
      </c>
      <c r="K85" s="187">
        <v>6862.67</v>
      </c>
      <c r="L85" s="167">
        <f t="shared" si="24"/>
        <v>-250.6899999999996</v>
      </c>
      <c r="M85" s="209">
        <f t="shared" si="25"/>
        <v>0.9634704859770323</v>
      </c>
      <c r="N85" s="185">
        <f>N81+N84+N82+N83</f>
        <v>15.49999999999909</v>
      </c>
      <c r="O85" s="189">
        <f>O81+O84+O82+O83</f>
        <v>0</v>
      </c>
      <c r="P85" s="187">
        <f t="shared" si="27"/>
        <v>-15.49999999999909</v>
      </c>
      <c r="Q85" s="187">
        <f>O85/N85*100</f>
        <v>0</v>
      </c>
      <c r="R85" s="39">
        <f>SUM(R81:R84)</f>
        <v>2851</v>
      </c>
      <c r="S85" s="39" t="e">
        <f>#N/A</f>
        <v>#N/A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17.65</v>
      </c>
      <c r="G86" s="162">
        <f t="shared" si="26"/>
        <v>-16.050000000000004</v>
      </c>
      <c r="H86" s="164">
        <f>F86/E86*100</f>
        <v>52.373887240356076</v>
      </c>
      <c r="I86" s="167">
        <f t="shared" si="28"/>
        <v>-20.35</v>
      </c>
      <c r="J86" s="167">
        <f>F86/D86*100</f>
        <v>46.44736842105262</v>
      </c>
      <c r="K86" s="187">
        <v>26.87</v>
      </c>
      <c r="L86" s="167">
        <f t="shared" si="24"/>
        <v>-9.220000000000002</v>
      </c>
      <c r="M86" s="209">
        <f t="shared" si="25"/>
        <v>0.6568663937476739</v>
      </c>
      <c r="N86" s="157">
        <f>E86-серпень!E86</f>
        <v>7.300000000000001</v>
      </c>
      <c r="O86" s="160">
        <f>F86-серпень!F86</f>
        <v>0</v>
      </c>
      <c r="P86" s="167">
        <f t="shared" si="27"/>
        <v>-7.300000000000001</v>
      </c>
      <c r="Q86" s="167">
        <f>O86/N86*100</f>
        <v>0</v>
      </c>
      <c r="R86" s="38">
        <v>1.2</v>
      </c>
      <c r="S86" s="38" t="e">
        <f>#N/A</f>
        <v>#N/A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>
        <v>18.76</v>
      </c>
      <c r="L87" s="187" t="e">
        <f>#N/A</f>
        <v>#N/A</v>
      </c>
      <c r="M87" s="209">
        <f t="shared" si="25"/>
        <v>0</v>
      </c>
      <c r="N87" s="164">
        <f>E87-квітень!E87</f>
        <v>0</v>
      </c>
      <c r="O87" s="168">
        <f>F87-квітень!F87</f>
        <v>0</v>
      </c>
      <c r="P87" s="167" t="e">
        <f>#N/A</f>
        <v>#N/A</v>
      </c>
      <c r="Q87" s="167"/>
      <c r="R87" s="38">
        <v>0</v>
      </c>
      <c r="S87" s="38" t="e">
        <f>#N/A</f>
        <v>#N/A</v>
      </c>
    </row>
    <row r="88" spans="2:19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21098.010000000002</v>
      </c>
      <c r="G88" s="309">
        <f>F88-E88</f>
        <v>-79037.38999999998</v>
      </c>
      <c r="H88" s="310">
        <f>F88/E88*100</f>
        <v>21.06948192147832</v>
      </c>
      <c r="I88" s="301">
        <f>F88-D88</f>
        <v>-224558.02</v>
      </c>
      <c r="J88" s="301">
        <f>F88/D88*100</f>
        <v>8.588435626839692</v>
      </c>
      <c r="K88" s="308">
        <v>27469.53</v>
      </c>
      <c r="L88" s="301">
        <f>F88-K88</f>
        <v>-6371.519999999997</v>
      </c>
      <c r="M88" s="302">
        <f t="shared" si="25"/>
        <v>0.7680513645482833</v>
      </c>
      <c r="N88" s="308">
        <f>N74+N75+N80+N85+N86</f>
        <v>28973.8</v>
      </c>
      <c r="O88" s="308">
        <f>O74+O75+O80+O85+O86</f>
        <v>418.5599999999995</v>
      </c>
      <c r="P88" s="301">
        <f>O88-N88</f>
        <v>-28555.239999999998</v>
      </c>
      <c r="Q88" s="301">
        <f>O88/N88*100</f>
        <v>1.444615480192448</v>
      </c>
      <c r="R88" s="27">
        <f>R80+R85+R86+R87</f>
        <v>4553.2</v>
      </c>
      <c r="S88" s="27" t="e">
        <f>S80+S85+S86+S87</f>
        <v>#N/A</v>
      </c>
    </row>
    <row r="89" spans="2:19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914153.4699999999</v>
      </c>
      <c r="G89" s="309">
        <f>F89-E89</f>
        <v>-178173.13000000024</v>
      </c>
      <c r="H89" s="310">
        <f>F89/E89*100</f>
        <v>83.68865776957183</v>
      </c>
      <c r="I89" s="301">
        <f>F89-D89</f>
        <v>-688993.6600000003</v>
      </c>
      <c r="J89" s="301">
        <f>F89/D89*100</f>
        <v>57.02243124746759</v>
      </c>
      <c r="K89" s="301">
        <f>K67+K88</f>
        <v>784969.6</v>
      </c>
      <c r="L89" s="301">
        <f>L67+L88</f>
        <v>129183.86999999991</v>
      </c>
      <c r="M89" s="302">
        <f t="shared" si="25"/>
        <v>1.164571812717333</v>
      </c>
      <c r="N89" s="309">
        <f>N67+N88</f>
        <v>134766.19999999995</v>
      </c>
      <c r="O89" s="309">
        <f>O67+O88</f>
        <v>7959.859999999936</v>
      </c>
      <c r="P89" s="301">
        <f>O89-N89</f>
        <v>-126806.34000000001</v>
      </c>
      <c r="Q89" s="301">
        <f>O89/N89*100</f>
        <v>5.906421639847335</v>
      </c>
      <c r="R89" s="27">
        <f>R67+R88</f>
        <v>112668.9</v>
      </c>
      <c r="S89" s="27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19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5171.1105263157915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42982</v>
      </c>
      <c r="D93" s="29">
        <v>2503.4</v>
      </c>
      <c r="G93" s="4" t="s">
        <v>58</v>
      </c>
      <c r="O93" s="316"/>
      <c r="P93" s="316"/>
    </row>
    <row r="94" spans="3:16" ht="15">
      <c r="C94" s="81">
        <v>42979</v>
      </c>
      <c r="D94" s="29">
        <v>5037.9</v>
      </c>
      <c r="G94" s="312"/>
      <c r="H94" s="312"/>
      <c r="I94" s="118"/>
      <c r="J94" s="295"/>
      <c r="K94" s="295"/>
      <c r="L94" s="295"/>
      <c r="M94" s="295"/>
      <c r="N94" s="295"/>
      <c r="O94" s="316"/>
      <c r="P94" s="316"/>
    </row>
    <row r="95" spans="3:16" ht="15.75" customHeight="1">
      <c r="C95" s="81">
        <v>42978</v>
      </c>
      <c r="D95" s="29">
        <v>7963.3</v>
      </c>
      <c r="F95" s="68"/>
      <c r="G95" s="312"/>
      <c r="H95" s="312"/>
      <c r="I95" s="118"/>
      <c r="J95" s="296"/>
      <c r="K95" s="296"/>
      <c r="L95" s="296"/>
      <c r="M95" s="296"/>
      <c r="N95" s="296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295"/>
      <c r="K96" s="295"/>
      <c r="L96" s="295"/>
      <c r="M96" s="295"/>
      <c r="N96" s="295"/>
    </row>
    <row r="97" spans="2:14" ht="18" customHeight="1">
      <c r="B97" s="318" t="s">
        <v>56</v>
      </c>
      <c r="C97" s="319"/>
      <c r="D97" s="133">
        <v>1363.6500800000001</v>
      </c>
      <c r="E97" s="69"/>
      <c r="F97" s="125" t="s">
        <v>107</v>
      </c>
      <c r="G97" s="312"/>
      <c r="H97" s="31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1240.63</v>
      </c>
      <c r="G100" s="68">
        <f>G48+G51+G52</f>
        <v>348.63000000000005</v>
      </c>
      <c r="H100" s="69"/>
      <c r="I100" s="69"/>
      <c r="N100" s="29">
        <f>N48+N51+N52</f>
        <v>86</v>
      </c>
      <c r="O100" s="202">
        <f>O48+O51+O52</f>
        <v>19.840000000000032</v>
      </c>
      <c r="P100" s="29">
        <f>P48+P51+P52</f>
        <v>-66.15999999999997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846526.09</v>
      </c>
      <c r="G102" s="29">
        <f>F102-E102</f>
        <v>-100599.31000000006</v>
      </c>
      <c r="H102" s="230">
        <f>F102/E102</f>
        <v>0.8937845928321635</v>
      </c>
      <c r="I102" s="29">
        <f>F102-D102</f>
        <v>-452522.5100000001</v>
      </c>
      <c r="J102" s="230">
        <f>F102/D102</f>
        <v>0.6516508235334689</v>
      </c>
      <c r="N102" s="29">
        <f>N9+N15+N17+N18+N19+N23+N42+N45+N65+N59</f>
        <v>100821.59999999996</v>
      </c>
      <c r="O102" s="229">
        <f>O9+O15+O17+O18+O19+O23+O42+O45+O65+O59</f>
        <v>4849.259999999937</v>
      </c>
      <c r="P102" s="29">
        <f>O102-N102</f>
        <v>-95972.34000000003</v>
      </c>
      <c r="Q102" s="230">
        <f>O102/N102</f>
        <v>0.048097431502772604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46505.5</v>
      </c>
      <c r="G103" s="29">
        <f>G43+G44+G46+G48+G50+G51+G52+G53+G54+G60+G64+G47</f>
        <v>1444.8699999999988</v>
      </c>
      <c r="H103" s="230">
        <f>F103/E103</f>
        <v>1.0319466202752419</v>
      </c>
      <c r="I103" s="29">
        <f>I43+I44+I46+I48+I50+I51+I52+I53+I54+I60+I64+I47</f>
        <v>-11931.830000000004</v>
      </c>
      <c r="J103" s="230">
        <f>F103/D103</f>
        <v>0.7957479573940197</v>
      </c>
      <c r="K103" s="29">
        <f>K43+K44+K46+K48+K50+K51+K52+K53+K54+K60+K64+K47</f>
        <v>49023.450000000004</v>
      </c>
      <c r="L103" s="29">
        <f>L43+L44+L46+L48+L50+L51+L52+L53+L54+L60+L64+L47</f>
        <v>-2512.7800000000016</v>
      </c>
      <c r="M103" s="29">
        <f>M43+M44+M46+M48+M50+M51+M52+M53+M54+M60+M64+M47</f>
        <v>19.203920842080706</v>
      </c>
      <c r="N103" s="29">
        <f>N43+N44+N46+N48+N50+N51+N52+N53+N54+N60+N64+N47+N66</f>
        <v>4970.8</v>
      </c>
      <c r="O103" s="229">
        <f>O43+O44+O46+O48+O50+O51+O52+O53+O54+O60+O64+O47+O66</f>
        <v>2692.04</v>
      </c>
      <c r="P103" s="29">
        <f>P43+P44+P46+P48+P50+P51+P52+P53+P54+P60+P64+P47</f>
        <v>-2278.76</v>
      </c>
      <c r="Q103" s="230">
        <f>O103/N103</f>
        <v>0.5415707733161664</v>
      </c>
    </row>
    <row r="104" spans="2:17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9" t="e">
        <f>#N/A</f>
        <v>#N/A</v>
      </c>
      <c r="L104" s="29" t="e">
        <f>#N/A</f>
        <v>#N/A</v>
      </c>
      <c r="M104" s="29" t="e">
        <f>#N/A</f>
        <v>#N/A</v>
      </c>
      <c r="N104" s="29" t="e">
        <f>#N/A</f>
        <v>#N/A</v>
      </c>
      <c r="O104" s="229" t="e">
        <f>#N/A</f>
        <v>#N/A</v>
      </c>
      <c r="P104" s="29" t="e">
        <f>#N/A</f>
        <v>#N/A</v>
      </c>
      <c r="Q104" s="230" t="e">
        <f>O104/N104</f>
        <v>#N/A</v>
      </c>
    </row>
    <row r="105" spans="4:19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9" t="e">
        <f>K67-K104</f>
        <v>#N/A</v>
      </c>
      <c r="L105" s="29" t="e">
        <f>#N/A</f>
        <v>#N/A</v>
      </c>
      <c r="M105" s="29" t="e">
        <f>#N/A</f>
        <v>#N/A</v>
      </c>
      <c r="N105" s="29" t="e">
        <f>#N/A</f>
        <v>#N/A</v>
      </c>
      <c r="O105" s="29" t="e">
        <f>#N/A</f>
        <v>#N/A</v>
      </c>
      <c r="P105" s="29" t="e">
        <f>#N/A</f>
        <v>#N/A</v>
      </c>
      <c r="Q105" s="29"/>
      <c r="R105" s="29" t="e">
        <f>#N/A</f>
        <v>#N/A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41352.33</v>
      </c>
      <c r="G111" s="192">
        <f>F111-E111</f>
        <v>-76885.12999999999</v>
      </c>
      <c r="H111" s="193">
        <f>F111/E111*100</f>
        <v>34.97396679529483</v>
      </c>
      <c r="I111" s="194">
        <f>F111-D111</f>
        <v>-276711.92</v>
      </c>
      <c r="J111" s="194">
        <f>F111/D111*100</f>
        <v>13.0012505335007</v>
      </c>
      <c r="K111" s="194">
        <v>3039.87</v>
      </c>
      <c r="L111" s="194">
        <f>F111-K111</f>
        <v>38312.46</v>
      </c>
      <c r="M111" s="269">
        <f>F111/K111</f>
        <v>13.603321852579223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934407.7899999998</v>
      </c>
      <c r="G112" s="192">
        <f>F112-E112</f>
        <v>-176020.87000000034</v>
      </c>
      <c r="H112" s="193">
        <f>F112/E112*100</f>
        <v>84.14838554329097</v>
      </c>
      <c r="I112" s="194">
        <f>F112-D112</f>
        <v>-741147.5600000003</v>
      </c>
      <c r="J112" s="194">
        <f>F112/D112*100</f>
        <v>55.767050011209705</v>
      </c>
      <c r="K112" s="194">
        <f>K89+K111</f>
        <v>788009.47</v>
      </c>
      <c r="L112" s="194">
        <f>F112-K112</f>
        <v>146398.31999999983</v>
      </c>
      <c r="M112" s="269">
        <f>F112/K112</f>
        <v>1.1857824373608097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Q113" s="89"/>
    </row>
    <row r="114" spans="2:17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Q123" s="89"/>
    </row>
    <row r="124" spans="2:17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G97:H97"/>
    <mergeCell ref="P4:P5"/>
    <mergeCell ref="Q4:Q5"/>
    <mergeCell ref="K5:M5"/>
    <mergeCell ref="R5:S5"/>
    <mergeCell ref="G92:J92"/>
    <mergeCell ref="O93:P93"/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5" sqref="Z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35" t="s">
        <v>132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126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129</v>
      </c>
      <c r="O3" s="346" t="s">
        <v>125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127</v>
      </c>
      <c r="F4" s="329" t="s">
        <v>33</v>
      </c>
      <c r="G4" s="320" t="s">
        <v>128</v>
      </c>
      <c r="H4" s="331" t="s">
        <v>122</v>
      </c>
      <c r="I4" s="320" t="s">
        <v>103</v>
      </c>
      <c r="J4" s="331" t="s">
        <v>104</v>
      </c>
      <c r="K4" s="85" t="s">
        <v>114</v>
      </c>
      <c r="L4" s="204" t="s">
        <v>113</v>
      </c>
      <c r="M4" s="90" t="s">
        <v>63</v>
      </c>
      <c r="N4" s="331"/>
      <c r="O4" s="333" t="s">
        <v>133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130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16"/>
      <c r="P90" s="31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42732</v>
      </c>
      <c r="D92" s="29">
        <v>19085.6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f>'[1]залишки  (2)'!$G$6/1000</f>
        <v>1363.6500800000001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233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230</v>
      </c>
      <c r="O3" s="346" t="s">
        <v>235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227</v>
      </c>
      <c r="F4" s="329" t="s">
        <v>33</v>
      </c>
      <c r="G4" s="320" t="s">
        <v>228</v>
      </c>
      <c r="H4" s="331" t="s">
        <v>229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234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231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1406.35</v>
      </c>
      <c r="G62" s="253">
        <f t="shared" si="16"/>
        <v>1406.35</v>
      </c>
      <c r="H62" s="195">
        <f t="shared" si="18"/>
        <v>1406.35</v>
      </c>
      <c r="I62" s="254">
        <f t="shared" si="19"/>
        <v>1406.35</v>
      </c>
      <c r="J62" s="165"/>
      <c r="K62" s="166">
        <v>889.8</v>
      </c>
      <c r="L62" s="254">
        <f t="shared" si="20"/>
        <v>516.55</v>
      </c>
      <c r="M62" s="305">
        <f t="shared" si="21"/>
        <v>1.5805237131939762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F75-червень!F75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16"/>
      <c r="P93" s="316"/>
    </row>
    <row r="94" spans="3:16" ht="15">
      <c r="C94" s="81">
        <v>42977</v>
      </c>
      <c r="D94" s="29">
        <v>9672.2</v>
      </c>
      <c r="G94" s="312"/>
      <c r="H94" s="312"/>
      <c r="I94" s="118"/>
      <c r="J94" s="295"/>
      <c r="K94" s="295"/>
      <c r="L94" s="295"/>
      <c r="M94" s="295"/>
      <c r="N94" s="295"/>
      <c r="O94" s="316"/>
      <c r="P94" s="316"/>
    </row>
    <row r="95" spans="3:16" ht="15.75" customHeight="1">
      <c r="C95" s="81">
        <v>42976</v>
      </c>
      <c r="D95" s="29">
        <v>5224.7</v>
      </c>
      <c r="F95" s="68"/>
      <c r="G95" s="312"/>
      <c r="H95" s="312"/>
      <c r="I95" s="118"/>
      <c r="J95" s="296"/>
      <c r="K95" s="296"/>
      <c r="L95" s="296"/>
      <c r="M95" s="296"/>
      <c r="N95" s="296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295"/>
      <c r="K96" s="295"/>
      <c r="L96" s="295"/>
      <c r="M96" s="295"/>
      <c r="N96" s="295"/>
    </row>
    <row r="97" spans="2:14" ht="18" customHeight="1">
      <c r="B97" s="318" t="s">
        <v>56</v>
      </c>
      <c r="C97" s="319"/>
      <c r="D97" s="133">
        <f>'[1]залишки  (2)'!$G$6/1000</f>
        <v>1363.6500800000001</v>
      </c>
      <c r="E97" s="69"/>
      <c r="F97" s="125" t="s">
        <v>107</v>
      </c>
      <c r="G97" s="312"/>
      <c r="H97" s="31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218</v>
      </c>
      <c r="O3" s="346" t="s">
        <v>220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219</v>
      </c>
      <c r="F4" s="329" t="s">
        <v>33</v>
      </c>
      <c r="G4" s="320" t="s">
        <v>221</v>
      </c>
      <c r="H4" s="331" t="s">
        <v>222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226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225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1234.58</v>
      </c>
      <c r="G62" s="162">
        <f t="shared" si="12"/>
        <v>1234.58</v>
      </c>
      <c r="H62" s="164" t="e">
        <f t="shared" si="13"/>
        <v>#DIV/0!</v>
      </c>
      <c r="I62" s="165">
        <f t="shared" si="14"/>
        <v>1234.58</v>
      </c>
      <c r="J62" s="165" t="e">
        <f t="shared" si="15"/>
        <v>#DIV/0!</v>
      </c>
      <c r="K62" s="166">
        <v>731.46</v>
      </c>
      <c r="L62" s="165">
        <f t="shared" si="16"/>
        <v>503.1199999999999</v>
      </c>
      <c r="M62" s="218">
        <f t="shared" si="17"/>
        <v>1.6878298198124297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16"/>
      <c r="P93" s="316"/>
    </row>
    <row r="94" spans="3:16" ht="15">
      <c r="C94" s="81">
        <v>42944</v>
      </c>
      <c r="D94" s="29">
        <v>13586.1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42943</v>
      </c>
      <c r="D95" s="29">
        <v>6106.3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f>'[1]залишки  (2)'!$G$6/1000</f>
        <v>1363.6500800000001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10" sqref="N10:N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35" t="s">
        <v>216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212</v>
      </c>
      <c r="O3" s="346" t="s">
        <v>213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209</v>
      </c>
      <c r="F4" s="329" t="s">
        <v>33</v>
      </c>
      <c r="G4" s="320" t="s">
        <v>210</v>
      </c>
      <c r="H4" s="331" t="s">
        <v>211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217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214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16"/>
      <c r="P93" s="316"/>
    </row>
    <row r="94" spans="3:16" ht="15" hidden="1">
      <c r="C94" s="81">
        <v>42913</v>
      </c>
      <c r="D94" s="29">
        <v>9872.9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 hidden="1">
      <c r="C95" s="81">
        <v>42912</v>
      </c>
      <c r="D95" s="29">
        <v>4876.1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 hidden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 hidden="1">
      <c r="B97" s="318" t="s">
        <v>56</v>
      </c>
      <c r="C97" s="319"/>
      <c r="D97" s="133">
        <v>225.52589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35" t="s">
        <v>207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  <c r="T1" s="86"/>
      <c r="U1" s="87"/>
    </row>
    <row r="2" spans="2:21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201</v>
      </c>
      <c r="O3" s="346" t="s">
        <v>202</v>
      </c>
      <c r="P3" s="346"/>
      <c r="Q3" s="346"/>
      <c r="R3" s="346"/>
      <c r="S3" s="346"/>
      <c r="T3" s="346"/>
      <c r="U3" s="346"/>
    </row>
    <row r="4" spans="1:21" ht="22.5" customHeight="1">
      <c r="A4" s="337"/>
      <c r="B4" s="339"/>
      <c r="C4" s="340"/>
      <c r="D4" s="341"/>
      <c r="E4" s="347" t="s">
        <v>198</v>
      </c>
      <c r="F4" s="329" t="s">
        <v>33</v>
      </c>
      <c r="G4" s="320" t="s">
        <v>199</v>
      </c>
      <c r="H4" s="331" t="s">
        <v>200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208</v>
      </c>
      <c r="P4" s="320" t="s">
        <v>49</v>
      </c>
      <c r="Q4" s="32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204</v>
      </c>
      <c r="L5" s="324"/>
      <c r="M5" s="325"/>
      <c r="N5" s="332"/>
      <c r="O5" s="334"/>
      <c r="P5" s="321"/>
      <c r="Q5" s="322"/>
      <c r="R5" s="326" t="s">
        <v>203</v>
      </c>
      <c r="S5" s="327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16"/>
      <c r="P93" s="316"/>
    </row>
    <row r="94" spans="3:16" ht="15">
      <c r="C94" s="81">
        <v>42885</v>
      </c>
      <c r="D94" s="29">
        <v>10664.9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42884</v>
      </c>
      <c r="D95" s="29">
        <v>6919.44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1135.71022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35" t="s">
        <v>196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  <c r="T1" s="86"/>
      <c r="U1" s="87"/>
    </row>
    <row r="2" spans="2:21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191</v>
      </c>
      <c r="O3" s="346" t="s">
        <v>190</v>
      </c>
      <c r="P3" s="346"/>
      <c r="Q3" s="346"/>
      <c r="R3" s="346"/>
      <c r="S3" s="346"/>
      <c r="T3" s="346"/>
      <c r="U3" s="346"/>
    </row>
    <row r="4" spans="1:21" ht="22.5" customHeight="1">
      <c r="A4" s="337"/>
      <c r="B4" s="339"/>
      <c r="C4" s="340"/>
      <c r="D4" s="341"/>
      <c r="E4" s="347" t="s">
        <v>187</v>
      </c>
      <c r="F4" s="329" t="s">
        <v>33</v>
      </c>
      <c r="G4" s="320" t="s">
        <v>188</v>
      </c>
      <c r="H4" s="331" t="s">
        <v>189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197</v>
      </c>
      <c r="P4" s="320" t="s">
        <v>49</v>
      </c>
      <c r="Q4" s="32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192</v>
      </c>
      <c r="L5" s="324"/>
      <c r="M5" s="325"/>
      <c r="N5" s="332"/>
      <c r="O5" s="334"/>
      <c r="P5" s="321"/>
      <c r="Q5" s="322"/>
      <c r="R5" s="326" t="s">
        <v>193</v>
      </c>
      <c r="S5" s="327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16"/>
      <c r="P93" s="316"/>
    </row>
    <row r="94" spans="3:16" ht="15">
      <c r="C94" s="81">
        <v>42852</v>
      </c>
      <c r="D94" s="29">
        <v>13266.8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42851</v>
      </c>
      <c r="D95" s="29">
        <v>6064.2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102.57358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35" t="s">
        <v>185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  <c r="T1" s="246"/>
      <c r="U1" s="249"/>
      <c r="V1" s="259"/>
      <c r="W1" s="259"/>
    </row>
    <row r="2" spans="2:23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163</v>
      </c>
      <c r="O3" s="346" t="s">
        <v>164</v>
      </c>
      <c r="P3" s="346"/>
      <c r="Q3" s="346"/>
      <c r="R3" s="346"/>
      <c r="S3" s="346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37"/>
      <c r="B4" s="339"/>
      <c r="C4" s="340"/>
      <c r="D4" s="341"/>
      <c r="E4" s="347" t="s">
        <v>153</v>
      </c>
      <c r="F4" s="329" t="s">
        <v>33</v>
      </c>
      <c r="G4" s="320" t="s">
        <v>162</v>
      </c>
      <c r="H4" s="331" t="s">
        <v>176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186</v>
      </c>
      <c r="P4" s="320" t="s">
        <v>49</v>
      </c>
      <c r="Q4" s="32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169</v>
      </c>
      <c r="L5" s="324"/>
      <c r="M5" s="325"/>
      <c r="N5" s="332"/>
      <c r="O5" s="334"/>
      <c r="P5" s="321"/>
      <c r="Q5" s="322"/>
      <c r="R5" s="323" t="s">
        <v>102</v>
      </c>
      <c r="S5" s="32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16"/>
      <c r="P93" s="316"/>
    </row>
    <row r="94" spans="3:16" ht="15">
      <c r="C94" s="81">
        <v>42824</v>
      </c>
      <c r="D94" s="29">
        <v>11112.7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42823</v>
      </c>
      <c r="D95" s="29">
        <v>8830.3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1399.2856000000002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35" t="s">
        <v>151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144</v>
      </c>
      <c r="O3" s="346" t="s">
        <v>148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149</v>
      </c>
      <c r="F4" s="329" t="s">
        <v>33</v>
      </c>
      <c r="G4" s="320" t="s">
        <v>145</v>
      </c>
      <c r="H4" s="331" t="s">
        <v>146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152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147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16"/>
      <c r="P90" s="31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42790</v>
      </c>
      <c r="D92" s="29">
        <v>4206.9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v>7713.34596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35" t="s">
        <v>143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134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123</v>
      </c>
      <c r="O3" s="346" t="s">
        <v>118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135</v>
      </c>
      <c r="F4" s="329" t="s">
        <v>33</v>
      </c>
      <c r="G4" s="320" t="s">
        <v>136</v>
      </c>
      <c r="H4" s="331" t="s">
        <v>137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124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142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16"/>
      <c r="P90" s="31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42762</v>
      </c>
      <c r="D92" s="29">
        <v>8862.4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f>9505303.41/1000</f>
        <v>9505.30341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2017-09-05T11:52:15Z</cp:lastPrinted>
  <dcterms:created xsi:type="dcterms:W3CDTF">2003-07-28T11:27:56Z</dcterms:created>
  <dcterms:modified xsi:type="dcterms:W3CDTF">2017-09-05T12:00:13Z</dcterms:modified>
  <cp:category/>
  <cp:version/>
  <cp:contentType/>
  <cp:contentStatus/>
</cp:coreProperties>
</file>